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30" documentId="8_{937EBF13-C8AE-49A8-9D41-21E051535B6C}" xr6:coauthVersionLast="47" xr6:coauthVersionMax="47" xr10:uidLastSave="{F367FB4C-6B34-4542-8DD8-EA1C44A4D177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5" r:id="rId56"/>
    <sheet name="331" sheetId="30" r:id="rId57"/>
    <sheet name="315" sheetId="69" r:id="rId58"/>
    <sheet name="326" sheetId="77" r:id="rId59"/>
    <sheet name="332" sheetId="33" r:id="rId60"/>
    <sheet name="316" sheetId="70" r:id="rId61"/>
    <sheet name="Div 6" sheetId="51" r:id="rId62"/>
    <sheet name="317" sheetId="71" r:id="rId63"/>
    <sheet name="320" sheetId="72" r:id="rId64"/>
    <sheet name="310" sheetId="21" r:id="rId65"/>
    <sheet name="309" sheetId="65" r:id="rId66"/>
    <sheet name="313" sheetId="67" r:id="rId67"/>
    <sheet name="321" sheetId="73" r:id="rId68"/>
    <sheet name="322" sheetId="74" r:id="rId69"/>
    <sheet name="325" sheetId="76" r:id="rId70"/>
    <sheet name="327" sheetId="78" r:id="rId71"/>
    <sheet name="Div 4" sheetId="36" r:id="rId72"/>
    <sheet name="310 &amp; 491" sheetId="39" r:id="rId73"/>
    <sheet name="491" sheetId="42" r:id="rId74"/>
    <sheet name="405" sheetId="79" r:id="rId75"/>
    <sheet name="406" sheetId="80" r:id="rId76"/>
    <sheet name="411" sheetId="81" r:id="rId77"/>
    <sheet name="412" sheetId="82" r:id="rId78"/>
    <sheet name="413" sheetId="83" r:id="rId79"/>
    <sheet name="414" sheetId="84" r:id="rId80"/>
    <sheet name="415" sheetId="85" r:id="rId81"/>
    <sheet name="418" sheetId="86" r:id="rId82"/>
    <sheet name="423" sheetId="87" r:id="rId83"/>
    <sheet name="424" sheetId="88" r:id="rId84"/>
    <sheet name="425" sheetId="89" r:id="rId85"/>
    <sheet name="455" sheetId="95" r:id="rId86"/>
    <sheet name="492" sheetId="45" r:id="rId87"/>
    <sheet name="430" sheetId="90" r:id="rId88"/>
    <sheet name="433" sheetId="91" r:id="rId89"/>
    <sheet name="435" sheetId="92" r:id="rId90"/>
    <sheet name="444" sheetId="93" r:id="rId91"/>
    <sheet name="450" sheetId="94" r:id="rId92"/>
    <sheet name="Div 5" sheetId="48" r:id="rId93"/>
    <sheet name="501" sheetId="96" r:id="rId94"/>
    <sheet name="Dept" sheetId="97" state="hidden" r:id="rId95"/>
    <sheet name="OSR_Dept_Y0WUKY" sheetId="98" state="hidden" r:id="rId96"/>
    <sheet name="OSR_Summary (...56e5d78f_5JEYZH" sheetId="99" state="hidden" r:id="rId97"/>
  </sheets>
  <definedNames>
    <definedName name="OSRRefD13x_0" localSheetId="48">'300'!$D$13:$D$71</definedName>
    <definedName name="OSRRefD13x_0" localSheetId="49">'300 &amp; 317'!$D$13:$D$86</definedName>
    <definedName name="OSRRefD13x_0" localSheetId="52">'307'!$D$13:$D$21</definedName>
    <definedName name="OSRRefD13x_0" localSheetId="53">'308'!$D$13:$D$33</definedName>
    <definedName name="OSRRefD13x_0" localSheetId="64">'310'!$D$13:$D$20</definedName>
    <definedName name="OSRRefD13x_0" localSheetId="72">'310 &amp; 491'!$D$13:$D$23</definedName>
    <definedName name="OSRRefD13x_0" localSheetId="54">'311'!$D$13:$D$33</definedName>
    <definedName name="OSRRefD13x_0" localSheetId="66">'313'!$D$13:$D$16</definedName>
    <definedName name="OSRRefD13x_0" localSheetId="57">'315'!$D$13:$D$51</definedName>
    <definedName name="OSRRefD13x_0" localSheetId="60">'316'!$D$13:$D$23</definedName>
    <definedName name="OSRRefD13x_0" localSheetId="62">'317'!$D$13:$D$31</definedName>
    <definedName name="OSRRefD13x_0" localSheetId="67">'321'!$D$13:$D$14</definedName>
    <definedName name="OSRRefD13x_0" localSheetId="55">'324'!$D$13:$D$16</definedName>
    <definedName name="OSRRefD13x_0" localSheetId="69">'325'!$D$13:$D$14</definedName>
    <definedName name="OSRRefD13x_0" localSheetId="58">'326'!$D$13:$D$31</definedName>
    <definedName name="OSRRefD13x_0" localSheetId="70">'327'!$D$13</definedName>
    <definedName name="OSRRefD13x_0" localSheetId="51">'330'!$D$13:$D$25</definedName>
    <definedName name="OSRRefD13x_0" localSheetId="56">'331'!$D$13:$D$51</definedName>
    <definedName name="OSRRefD13x_0" localSheetId="59">'332'!$D$13:$D$23</definedName>
    <definedName name="OSRRefD13x_0" localSheetId="74">'405'!$D$13:$D$14</definedName>
    <definedName name="OSRRefD13x_0" localSheetId="79">'414'!$D$13</definedName>
    <definedName name="OSRRefD13x_0" localSheetId="80">'415'!$D$13:$D$14</definedName>
    <definedName name="OSRRefD13x_0" localSheetId="88">'433'!$D$13:$D$15</definedName>
    <definedName name="OSRRefD13x_0" localSheetId="90">'444'!$D$13:$D$15</definedName>
    <definedName name="OSRRefD13x_0" localSheetId="91">'450'!$D$13:$D$14</definedName>
    <definedName name="OSRRefD13x_0" localSheetId="73">'491'!$D$13:$D$15</definedName>
    <definedName name="OSRRefD13x_0" localSheetId="86">'492'!$D$13:$D$15</definedName>
    <definedName name="OSRRefD13x_0" localSheetId="93">'501'!$D$13</definedName>
    <definedName name="OSRRefD13x_0" localSheetId="47">'Div 3'!$D$13:$D$73</definedName>
    <definedName name="OSRRefD13x_0" localSheetId="71">'Div 4'!$D$13:$D$17</definedName>
    <definedName name="OSRRefD13x_0" localSheetId="92">'Div 5'!$D$13</definedName>
    <definedName name="OSRRefD13x_0" localSheetId="61">'Div 6'!$D$13:$D$31</definedName>
    <definedName name="OSRRefD13x_0" localSheetId="2">Summary!$D$13:$D$92</definedName>
    <definedName name="OSRRefD16x_0" localSheetId="48">'300'!$D$74:$D$105</definedName>
    <definedName name="OSRRefD16x_0" localSheetId="49">'300 &amp; 317'!$D$89:$D$127</definedName>
    <definedName name="OSRRefD16x_0" localSheetId="52">'307'!$D$24:$D$33</definedName>
    <definedName name="OSRRefD16x_0" localSheetId="53">'308'!$D$36:$D$48</definedName>
    <definedName name="OSRRefD16x_0" localSheetId="64">'310'!$D$23:$D$24</definedName>
    <definedName name="OSRRefD16x_0" localSheetId="72">'310 &amp; 491'!$D$26:$D$27</definedName>
    <definedName name="OSRRefD16x_0" localSheetId="54">'311'!$D$36:$D$48</definedName>
    <definedName name="OSRRefD16x_0" localSheetId="66">'313'!$D$19</definedName>
    <definedName name="OSRRefD16x_0" localSheetId="57">'315'!$D$54:$D$72</definedName>
    <definedName name="OSRRefD16x_0" localSheetId="62">'317'!$D$34:$D$44</definedName>
    <definedName name="OSRRefD16x_0" localSheetId="63">'320'!$D$15:$D$16</definedName>
    <definedName name="OSRRefD16x_0" localSheetId="67">'321'!$D$17</definedName>
    <definedName name="OSRRefD16x_0" localSheetId="68">'322'!$D$15</definedName>
    <definedName name="OSRRefD16x_0" localSheetId="55">'324'!$D$19:$D$21</definedName>
    <definedName name="OSRRefD16x_0" localSheetId="69">'325'!$D$17:$D$18</definedName>
    <definedName name="OSRRefD16x_0" localSheetId="58">'326'!$D$34:$D$35</definedName>
    <definedName name="OSRRefD16x_0" localSheetId="70">'327'!$D$16:$D$17</definedName>
    <definedName name="OSRRefD16x_0" localSheetId="51">'330'!$D$28:$D$37</definedName>
    <definedName name="OSRRefD16x_0" localSheetId="56">'331'!$D$54:$D$72</definedName>
    <definedName name="OSRRefD16x_0" localSheetId="59">'332'!$D$26:$D$27</definedName>
    <definedName name="OSRRefD16x_0" localSheetId="74">'405'!$D$17:$D$18</definedName>
    <definedName name="OSRRefD16x_0" localSheetId="80">'415'!$D$17:$D$18</definedName>
    <definedName name="OSRRefD16x_0" localSheetId="81">'418'!$D$15</definedName>
    <definedName name="OSRRefD16x_0" localSheetId="84">'425'!$D$15</definedName>
    <definedName name="OSRRefD16x_0" localSheetId="88">'433'!$D$18:$D$19</definedName>
    <definedName name="OSRRefD16x_0" localSheetId="90">'444'!$D$18:$D$19</definedName>
    <definedName name="OSRRefD16x_0" localSheetId="91">'450'!$D$17:$D$18</definedName>
    <definedName name="OSRRefD16x_0" localSheetId="73">'491'!$D$18:$D$19</definedName>
    <definedName name="OSRRefD16x_0" localSheetId="86">'492'!$D$18:$D$19</definedName>
    <definedName name="OSRRefD16x_0" localSheetId="47">'Div 3'!$D$76:$D$109</definedName>
    <definedName name="OSRRefD16x_0" localSheetId="71">'Div 4'!$D$20:$D$21</definedName>
    <definedName name="OSRRefD16x_0" localSheetId="61">'Div 6'!$D$34:$D$44</definedName>
    <definedName name="OSRRefD16x_0" localSheetId="2">Summary!$D$95:$D$135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'300'!$D$111:$D$120</definedName>
    <definedName name="OSRRefD22_0x_0" localSheetId="49">'300 &amp; 317'!$D$133:$D$142</definedName>
    <definedName name="OSRRefD22_0x_0" localSheetId="50">'301'!$D$20:$D$29</definedName>
    <definedName name="OSRRefD22_0x_0" localSheetId="52">'307'!$D$39:$D$41</definedName>
    <definedName name="OSRRefD22_0x_0" localSheetId="53">'308'!$D$54:$D$62</definedName>
    <definedName name="OSRRefD22_0x_0" localSheetId="65">'309'!$D$20</definedName>
    <definedName name="OSRRefD22_0x_0" localSheetId="64">'310'!$D$30:$D$37</definedName>
    <definedName name="OSRRefD22_0x_0" localSheetId="72">'310 &amp; 491'!$D$33:$D$40</definedName>
    <definedName name="OSRRefD22_0x_0" localSheetId="54">'311'!$D$54:$D$62</definedName>
    <definedName name="OSRRefD22_0x_0" localSheetId="66">'313'!$D$25:$D$32</definedName>
    <definedName name="OSRRefD22_0x_0" localSheetId="57">'315'!$D$78:$D$85</definedName>
    <definedName name="OSRRefD22_0x_0" localSheetId="60">'316'!$D$31:$D$38</definedName>
    <definedName name="OSRRefD22_0x_0" localSheetId="62">'317'!$D$50:$D$58</definedName>
    <definedName name="OSRRefD22_0x_0" localSheetId="63">'320'!$D$22:$D$23</definedName>
    <definedName name="OSRRefD22_0x_0" localSheetId="67">'321'!$D$23:$D$30</definedName>
    <definedName name="OSRRefD22_0x_0" localSheetId="68">'322'!$D$21:$D$25</definedName>
    <definedName name="OSRRefD22_0x_0" localSheetId="69">'325'!$D$24:$D$30</definedName>
    <definedName name="OSRRefD22_0x_0" localSheetId="58">'326'!$D$41:$D$48</definedName>
    <definedName name="OSRRefD22_0x_0" localSheetId="51">'330'!$D$43:$D$46</definedName>
    <definedName name="OSRRefD22_0x_0" localSheetId="56">'331'!$D$78:$D$85</definedName>
    <definedName name="OSRRefD22_0x_0" localSheetId="59">'332'!$D$33:$D$40</definedName>
    <definedName name="OSRRefD22_0x_0" localSheetId="74">'405'!$D$24:$D$31</definedName>
    <definedName name="OSRRefD22_0x_0" localSheetId="75">'406'!$D$20</definedName>
    <definedName name="OSRRefD22_0x_0" localSheetId="76">'411'!$D$20:$D$27</definedName>
    <definedName name="OSRRefD22_0x_0" localSheetId="77">'412'!$D$20</definedName>
    <definedName name="OSRRefD22_0x_0" localSheetId="78">'413'!$D$20:$D$24</definedName>
    <definedName name="OSRRefD22_0x_0" localSheetId="79">'414'!$D$21</definedName>
    <definedName name="OSRRefD22_0x_0" localSheetId="80">'415'!$D$24:$D$31</definedName>
    <definedName name="OSRRefD22_0x_0" localSheetId="81">'418'!$D$21:$D$28</definedName>
    <definedName name="OSRRefD22_0x_0" localSheetId="82">'423'!$D$20:$D$21</definedName>
    <definedName name="OSRRefD22_0x_0" localSheetId="83">'424'!$D$20</definedName>
    <definedName name="OSRRefD22_0x_0" localSheetId="84">'425'!$D$21:$D$25</definedName>
    <definedName name="OSRRefD22_0x_0" localSheetId="87">'430'!$D$20:$D$27</definedName>
    <definedName name="OSRRefD22_0x_0" localSheetId="88">'433'!$D$25:$D$33</definedName>
    <definedName name="OSRRefD22_0x_0" localSheetId="89">'435'!$D$20</definedName>
    <definedName name="OSRRefD22_0x_0" localSheetId="90">'444'!$D$25:$D$33</definedName>
    <definedName name="OSRRefD22_0x_0" localSheetId="91">'450'!$D$24:$D$32</definedName>
    <definedName name="OSRRefD22_0x_0" localSheetId="73">'491'!$D$25:$D$32</definedName>
    <definedName name="OSRRefD22_0x_0" localSheetId="86">'492'!$D$25:$D$33</definedName>
    <definedName name="OSRRefD22_0x_0" localSheetId="93">'501'!$D$21:$D$28</definedName>
    <definedName name="OSRRefD22_0x_0" localSheetId="39">'Div 2'!$D$20:$D$29</definedName>
    <definedName name="OSRRefD22_0x_0" localSheetId="47">'Div 3'!$D$115:$D$124</definedName>
    <definedName name="OSRRefD22_0x_0" localSheetId="71">'Div 4'!$D$27:$D$35</definedName>
    <definedName name="OSRRefD22_0x_0" localSheetId="92">'Div 5'!$D$21:$D$28</definedName>
    <definedName name="OSRRefD22_0x_0" localSheetId="61">'Div 6'!$D$50:$D$58</definedName>
    <definedName name="OSRRefD22_0x_0" localSheetId="2">Summary!$D$141:$D$150</definedName>
    <definedName name="OSRRefD22_10x_0" localSheetId="41">'201'!$D$49:$D$50</definedName>
    <definedName name="OSRRefD22_10x_0" localSheetId="42">'202'!$D$52</definedName>
    <definedName name="OSRRefD22_10x_0" localSheetId="43">'203'!$D$56</definedName>
    <definedName name="OSRRefD22_10x_0" localSheetId="48">'300'!$D$149</definedName>
    <definedName name="OSRRefD22_10x_0" localSheetId="49">'300 &amp; 317'!$D$171</definedName>
    <definedName name="OSRRefD22_10x_0" localSheetId="50">'301'!$D$56</definedName>
    <definedName name="OSRRefD22_10x_0" localSheetId="52">'307'!$D$65:$D$67</definedName>
    <definedName name="OSRRefD22_10x_0" localSheetId="53">'308'!$D$89</definedName>
    <definedName name="OSRRefD22_10x_0" localSheetId="64">'310'!$D$60:$D$61</definedName>
    <definedName name="OSRRefD22_10x_0" localSheetId="72">'310 &amp; 491'!$D$65</definedName>
    <definedName name="OSRRefD22_10x_0" localSheetId="54">'311'!$D$89</definedName>
    <definedName name="OSRRefD22_10x_0" localSheetId="57">'315'!$D$116</definedName>
    <definedName name="OSRRefD22_10x_0" localSheetId="60">'316'!$D$66</definedName>
    <definedName name="OSRRefD22_10x_0" localSheetId="67">'321'!$D$56</definedName>
    <definedName name="OSRRefD22_10x_0" localSheetId="69">'325'!$D$54:$D$56</definedName>
    <definedName name="OSRRefD22_10x_0" localSheetId="58">'326'!$D$72:$D$73</definedName>
    <definedName name="OSRRefD22_10x_0" localSheetId="51">'330'!$D$71:$D$73</definedName>
    <definedName name="OSRRefD22_10x_0" localSheetId="56">'331'!$D$112</definedName>
    <definedName name="OSRRefD22_10x_0" localSheetId="59">'332'!$D$68</definedName>
    <definedName name="OSRRefD22_10x_0" localSheetId="74">'405'!$D$58</definedName>
    <definedName name="OSRRefD22_10x_0" localSheetId="76">'411'!$D$54</definedName>
    <definedName name="OSRRefD22_10x_0" localSheetId="80">'415'!$D$55:$D$56</definedName>
    <definedName name="OSRRefD22_10x_0" localSheetId="81">'418'!$D$55</definedName>
    <definedName name="OSRRefD22_10x_0" localSheetId="88">'433'!$D$56</definedName>
    <definedName name="OSRRefD22_10x_0" localSheetId="90">'444'!$D$57:$D$58</definedName>
    <definedName name="OSRRefD22_10x_0" localSheetId="91">'450'!$D$55:$D$56</definedName>
    <definedName name="OSRRefD22_10x_0" localSheetId="73">'491'!$D$57</definedName>
    <definedName name="OSRRefD22_10x_0" localSheetId="86">'492'!$D$58</definedName>
    <definedName name="OSRRefD22_10x_0" localSheetId="39">'Div 2'!$D$55</definedName>
    <definedName name="OSRRefD22_10x_0" localSheetId="47">'Div 3'!$D$153</definedName>
    <definedName name="OSRRefD22_10x_0" localSheetId="71">'Div 4'!$D$61</definedName>
    <definedName name="OSRRefD22_10x_0" localSheetId="2">Summary!$D$178:$D$179</definedName>
    <definedName name="OSRRefD22_11x_0" localSheetId="41">'201'!$D$52</definedName>
    <definedName name="OSRRefD22_11x_0" localSheetId="42">'202'!$D$54</definedName>
    <definedName name="OSRRefD22_11x_0" localSheetId="48">'300'!$D$151</definedName>
    <definedName name="OSRRefD22_11x_0" localSheetId="49">'300 &amp; 317'!$D$173</definedName>
    <definedName name="OSRRefD22_11x_0" localSheetId="50">'301'!$D$58</definedName>
    <definedName name="OSRRefD22_11x_0" localSheetId="52">'307'!$D$69</definedName>
    <definedName name="OSRRefD22_11x_0" localSheetId="53">'308'!$D$91:$D$92</definedName>
    <definedName name="OSRRefD22_11x_0" localSheetId="64">'310'!$D$63:$D$65</definedName>
    <definedName name="OSRRefD22_11x_0" localSheetId="72">'310 &amp; 491'!$D$67</definedName>
    <definedName name="OSRRefD22_11x_0" localSheetId="54">'311'!$D$91:$D$92</definedName>
    <definedName name="OSRRefD22_11x_0" localSheetId="57">'315'!$D$118</definedName>
    <definedName name="OSRRefD22_11x_0" localSheetId="69">'325'!$D$58:$D$60</definedName>
    <definedName name="OSRRefD22_11x_0" localSheetId="58">'326'!$D$75</definedName>
    <definedName name="OSRRefD22_11x_0" localSheetId="51">'330'!$D$75</definedName>
    <definedName name="OSRRefD22_11x_0" localSheetId="56">'331'!$D$114:$D$115</definedName>
    <definedName name="OSRRefD22_11x_0" localSheetId="74">'405'!$D$60</definedName>
    <definedName name="OSRRefD22_11x_0" localSheetId="76">'411'!$D$56</definedName>
    <definedName name="OSRRefD22_11x_0" localSheetId="80">'415'!$D$58:$D$61</definedName>
    <definedName name="OSRRefD22_11x_0" localSheetId="88">'433'!$D$58:$D$60</definedName>
    <definedName name="OSRRefD22_11x_0" localSheetId="90">'444'!$D$60:$D$62</definedName>
    <definedName name="OSRRefD22_11x_0" localSheetId="91">'450'!$D$58:$D$61</definedName>
    <definedName name="OSRRefD22_11x_0" localSheetId="73">'491'!$D$59</definedName>
    <definedName name="OSRRefD22_11x_0" localSheetId="86">'492'!$D$60:$D$62</definedName>
    <definedName name="OSRRefD22_11x_0" localSheetId="39">'Div 2'!$D$57:$D$59</definedName>
    <definedName name="OSRRefD22_11x_0" localSheetId="47">'Div 3'!$D$155</definedName>
    <definedName name="OSRRefD22_11x_0" localSheetId="71">'Div 4'!$D$63</definedName>
    <definedName name="OSRRefD22_11x_0" localSheetId="2">Summary!$D$181</definedName>
    <definedName name="OSRRefD22_12x_0" localSheetId="48">'300'!$D$153:$D$154</definedName>
    <definedName name="OSRRefD22_12x_0" localSheetId="49">'300 &amp; 317'!$D$175:$D$176</definedName>
    <definedName name="OSRRefD22_12x_0" localSheetId="50">'301'!$D$60</definedName>
    <definedName name="OSRRefD22_12x_0" localSheetId="53">'308'!$D$94:$D$95</definedName>
    <definedName name="OSRRefD22_12x_0" localSheetId="64">'310'!$D$67:$D$70</definedName>
    <definedName name="OSRRefD22_12x_0" localSheetId="72">'310 &amp; 491'!$D$69</definedName>
    <definedName name="OSRRefD22_12x_0" localSheetId="54">'311'!$D$94:$D$95</definedName>
    <definedName name="OSRRefD22_12x_0" localSheetId="69">'325'!$D$62</definedName>
    <definedName name="OSRRefD22_12x_0" localSheetId="58">'326'!$D$77:$D$79</definedName>
    <definedName name="OSRRefD22_12x_0" localSheetId="56">'331'!$D$117:$D$118</definedName>
    <definedName name="OSRRefD22_12x_0" localSheetId="76">'411'!$D$58</definedName>
    <definedName name="OSRRefD22_12x_0" localSheetId="80">'415'!$D$63</definedName>
    <definedName name="OSRRefD22_12x_0" localSheetId="88">'433'!$D$62:$D$66</definedName>
    <definedName name="OSRRefD22_12x_0" localSheetId="90">'444'!$D$64:$D$69</definedName>
    <definedName name="OSRRefD22_12x_0" localSheetId="91">'450'!$D$63</definedName>
    <definedName name="OSRRefD22_12x_0" localSheetId="73">'491'!$D$61:$D$63</definedName>
    <definedName name="OSRRefD22_12x_0" localSheetId="86">'492'!$D$64:$D$66</definedName>
    <definedName name="OSRRefD22_12x_0" localSheetId="39">'Div 2'!$D$61:$D$63</definedName>
    <definedName name="OSRRefD22_12x_0" localSheetId="47">'Div 3'!$D$157</definedName>
    <definedName name="OSRRefD22_12x_0" localSheetId="71">'Div 4'!$D$65</definedName>
    <definedName name="OSRRefD22_12x_0" localSheetId="2">Summary!$D$183</definedName>
    <definedName name="OSRRefD22_13x_0" localSheetId="48">'300'!$D$156</definedName>
    <definedName name="OSRRefD22_13x_0" localSheetId="49">'300 &amp; 317'!$D$178</definedName>
    <definedName name="OSRRefD22_13x_0" localSheetId="50">'301'!$D$62:$D$65</definedName>
    <definedName name="OSRRefD22_13x_0" localSheetId="53">'308'!$D$97</definedName>
    <definedName name="OSRRefD22_13x_0" localSheetId="64">'310'!$D$72</definedName>
    <definedName name="OSRRefD22_13x_0" localSheetId="72">'310 &amp; 491'!$D$71:$D$73</definedName>
    <definedName name="OSRRefD22_13x_0" localSheetId="54">'311'!$D$97</definedName>
    <definedName name="OSRRefD22_13x_0" localSheetId="69">'325'!$D$64</definedName>
    <definedName name="OSRRefD22_13x_0" localSheetId="58">'326'!$D$81</definedName>
    <definedName name="OSRRefD22_13x_0" localSheetId="56">'331'!$D$120:$D$121</definedName>
    <definedName name="OSRRefD22_13x_0" localSheetId="76">'411'!$D$60</definedName>
    <definedName name="OSRRefD22_13x_0" localSheetId="80">'415'!$D$65:$D$70</definedName>
    <definedName name="OSRRefD22_13x_0" localSheetId="88">'433'!$D$68</definedName>
    <definedName name="OSRRefD22_13x_0" localSheetId="90">'444'!$D$71</definedName>
    <definedName name="OSRRefD22_13x_0" localSheetId="73">'491'!$D$65:$D$68</definedName>
    <definedName name="OSRRefD22_13x_0" localSheetId="86">'492'!$D$68:$D$73</definedName>
    <definedName name="OSRRefD22_13x_0" localSheetId="39">'Div 2'!$D$65</definedName>
    <definedName name="OSRRefD22_13x_0" localSheetId="47">'Div 3'!$D$159:$D$160</definedName>
    <definedName name="OSRRefD22_13x_0" localSheetId="71">'Div 4'!$D$67</definedName>
    <definedName name="OSRRefD22_13x_0" localSheetId="2">Summary!$D$185</definedName>
    <definedName name="OSRRefD22_14x_0" localSheetId="48">'300'!$D$158:$D$161</definedName>
    <definedName name="OSRRefD22_14x_0" localSheetId="49">'300 &amp; 317'!$D$180:$D$183</definedName>
    <definedName name="OSRRefD22_14x_0" localSheetId="50">'301'!$D$67:$D$69</definedName>
    <definedName name="OSRRefD22_14x_0" localSheetId="64">'310'!$D$74</definedName>
    <definedName name="OSRRefD22_14x_0" localSheetId="72">'310 &amp; 491'!$D$75:$D$78</definedName>
    <definedName name="OSRRefD22_14x_0" localSheetId="58">'326'!$D$83</definedName>
    <definedName name="OSRRefD22_14x_0" localSheetId="56">'331'!$D$123</definedName>
    <definedName name="OSRRefD22_14x_0" localSheetId="80">'415'!$D$72</definedName>
    <definedName name="OSRRefD22_14x_0" localSheetId="90">'444'!$D$73</definedName>
    <definedName name="OSRRefD22_14x_0" localSheetId="73">'491'!$D$70</definedName>
    <definedName name="OSRRefD22_14x_0" localSheetId="86">'492'!$D$75</definedName>
    <definedName name="OSRRefD22_14x_0" localSheetId="39">'Div 2'!$D$67</definedName>
    <definedName name="OSRRefD22_14x_0" localSheetId="47">'Div 3'!$D$162</definedName>
    <definedName name="OSRRefD22_14x_0" localSheetId="71">'Div 4'!$D$69:$D$71</definedName>
    <definedName name="OSRRefD22_14x_0" localSheetId="2">Summary!$D$187:$D$188</definedName>
    <definedName name="OSRRefD22_15x_0" localSheetId="48">'300'!$D$163:$D$165</definedName>
    <definedName name="OSRRefD22_15x_0" localSheetId="49">'300 &amp; 317'!$D$185:$D$187</definedName>
    <definedName name="OSRRefD22_15x_0" localSheetId="50">'301'!$D$71:$D$75</definedName>
    <definedName name="OSRRefD22_15x_0" localSheetId="72">'310 &amp; 491'!$D$80</definedName>
    <definedName name="OSRRefD22_15x_0" localSheetId="58">'326'!$D$85</definedName>
    <definedName name="OSRRefD22_15x_0" localSheetId="56">'331'!$D$125:$D$128</definedName>
    <definedName name="OSRRefD22_15x_0" localSheetId="80">'415'!$D$74</definedName>
    <definedName name="OSRRefD22_15x_0" localSheetId="73">'491'!$D$72:$D$78</definedName>
    <definedName name="OSRRefD22_15x_0" localSheetId="86">'492'!$D$77</definedName>
    <definedName name="OSRRefD22_15x_0" localSheetId="39">'Div 2'!$D$69:$D$73</definedName>
    <definedName name="OSRRefD22_15x_0" localSheetId="47">'Div 3'!$D$164:$D$167</definedName>
    <definedName name="OSRRefD22_15x_0" localSheetId="71">'Div 4'!$D$73:$D$76</definedName>
    <definedName name="OSRRefD22_15x_0" localSheetId="2">Summary!$D$190</definedName>
    <definedName name="OSRRefD22_16x_0" localSheetId="48">'300'!$D$167:$D$170</definedName>
    <definedName name="OSRRefD22_16x_0" localSheetId="49">'300 &amp; 317'!$D$189:$D$192</definedName>
    <definedName name="OSRRefD22_16x_0" localSheetId="50">'301'!$D$77</definedName>
    <definedName name="OSRRefD22_16x_0" localSheetId="72">'310 &amp; 491'!$D$82:$D$88</definedName>
    <definedName name="OSRRefD22_16x_0" localSheetId="56">'331'!$D$130</definedName>
    <definedName name="OSRRefD22_16x_0" localSheetId="73">'491'!$D$80</definedName>
    <definedName name="OSRRefD22_16x_0" localSheetId="86">'492'!$D$79</definedName>
    <definedName name="OSRRefD22_16x_0" localSheetId="39">'Div 2'!$D$75:$D$76</definedName>
    <definedName name="OSRRefD22_16x_0" localSheetId="47">'Div 3'!$D$169:$D$171</definedName>
    <definedName name="OSRRefD22_16x_0" localSheetId="71">'Div 4'!$D$78</definedName>
    <definedName name="OSRRefD22_16x_0" localSheetId="2">Summary!$D$192</definedName>
    <definedName name="OSRRefD22_17x_0" localSheetId="48">'300'!$D$172:$D$173</definedName>
    <definedName name="OSRRefD22_17x_0" localSheetId="49">'300 &amp; 317'!$D$194:$D$195</definedName>
    <definedName name="OSRRefD22_17x_0" localSheetId="50">'301'!$D$79</definedName>
    <definedName name="OSRRefD22_17x_0" localSheetId="72">'310 &amp; 491'!$D$90</definedName>
    <definedName name="OSRRefD22_17x_0" localSheetId="56">'331'!$D$132</definedName>
    <definedName name="OSRRefD22_17x_0" localSheetId="73">'491'!$D$82</definedName>
    <definedName name="OSRRefD22_17x_0" localSheetId="39">'Div 2'!$D$78</definedName>
    <definedName name="OSRRefD22_17x_0" localSheetId="47">'Div 3'!$D$173:$D$177</definedName>
    <definedName name="OSRRefD22_17x_0" localSheetId="71">'Div 4'!$D$80:$D$87</definedName>
    <definedName name="OSRRefD22_17x_0" localSheetId="2">Summary!$D$194:$D$197</definedName>
    <definedName name="OSRRefD22_18x_0" localSheetId="48">'300'!$D$175:$D$180</definedName>
    <definedName name="OSRRefD22_18x_0" localSheetId="49">'300 &amp; 317'!$D$197:$D$202</definedName>
    <definedName name="OSRRefD22_18x_0" localSheetId="50">'301'!$D$81:$D$82</definedName>
    <definedName name="OSRRefD22_18x_0" localSheetId="72">'310 &amp; 491'!$D$92</definedName>
    <definedName name="OSRRefD22_18x_0" localSheetId="56">'331'!$D$134</definedName>
    <definedName name="OSRRefD22_18x_0" localSheetId="73">'491'!$D$84</definedName>
    <definedName name="OSRRefD22_18x_0" localSheetId="39">'Div 2'!$D$80</definedName>
    <definedName name="OSRRefD22_18x_0" localSheetId="47">'Div 3'!$D$179:$D$180</definedName>
    <definedName name="OSRRefD22_18x_0" localSheetId="71">'Div 4'!$D$89</definedName>
    <definedName name="OSRRefD22_18x_0" localSheetId="2">Summary!$D$199:$D$201</definedName>
    <definedName name="OSRRefD22_19x_0" localSheetId="48">'300'!$D$182:$D$183</definedName>
    <definedName name="OSRRefD22_19x_0" localSheetId="49">'300 &amp; 317'!$D$204:$D$205</definedName>
    <definedName name="OSRRefD22_19x_0" localSheetId="50">'301'!$D$84</definedName>
    <definedName name="OSRRefD22_19x_0" localSheetId="72">'310 &amp; 491'!$D$94</definedName>
    <definedName name="OSRRefD22_19x_0" localSheetId="47">'Div 3'!$D$182:$D$187</definedName>
    <definedName name="OSRRefD22_19x_0" localSheetId="71">'Div 4'!$D$91</definedName>
    <definedName name="OSRRefD22_19x_0" localSheetId="2">Summary!$D$203:$D$207</definedName>
    <definedName name="OSRRefD22_1x_0" localSheetId="40">'200'!$D$22</definedName>
    <definedName name="OSRRefD22_1x_0" localSheetId="41">'201'!$D$29:$D$30</definedName>
    <definedName name="OSRRefD22_1x_0" localSheetId="42">'202'!$D$29:$D$30</definedName>
    <definedName name="OSRRefD22_1x_0" localSheetId="43">'203'!$D$30:$D$33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'300'!$D$122:$D$128</definedName>
    <definedName name="OSRRefD22_1x_0" localSheetId="49">'300 &amp; 317'!$D$144:$D$150</definedName>
    <definedName name="OSRRefD22_1x_0" localSheetId="50">'301'!$D$31:$D$37</definedName>
    <definedName name="OSRRefD22_1x_0" localSheetId="52">'307'!$D$43:$D$44</definedName>
    <definedName name="OSRRefD22_1x_0" localSheetId="53">'308'!$D$64:$D$70</definedName>
    <definedName name="OSRRefD22_1x_0" localSheetId="65">'309'!$D$22:$D$23</definedName>
    <definedName name="OSRRefD22_1x_0" localSheetId="64">'310'!$D$39:$D$41</definedName>
    <definedName name="OSRRefD22_1x_0" localSheetId="72">'310 &amp; 491'!$D$42:$D$46</definedName>
    <definedName name="OSRRefD22_1x_0" localSheetId="54">'311'!$D$64:$D$70</definedName>
    <definedName name="OSRRefD22_1x_0" localSheetId="66">'313'!$D$34</definedName>
    <definedName name="OSRRefD22_1x_0" localSheetId="57">'315'!$D$87:$D$91</definedName>
    <definedName name="OSRRefD22_1x_0" localSheetId="60">'316'!$D$40:$D$42</definedName>
    <definedName name="OSRRefD22_1x_0" localSheetId="62">'317'!$D$60:$D$63</definedName>
    <definedName name="OSRRefD22_1x_0" localSheetId="63">'320'!$D$25</definedName>
    <definedName name="OSRRefD22_1x_0" localSheetId="67">'321'!$D$32:$D$34</definedName>
    <definedName name="OSRRefD22_1x_0" localSheetId="68">'322'!$D$27</definedName>
    <definedName name="OSRRefD22_1x_0" localSheetId="69">'325'!$D$32:$D$34</definedName>
    <definedName name="OSRRefD22_1x_0" localSheetId="58">'326'!$D$50:$D$54</definedName>
    <definedName name="OSRRefD22_1x_0" localSheetId="51">'330'!$D$48:$D$49</definedName>
    <definedName name="OSRRefD22_1x_0" localSheetId="56">'331'!$D$87:$D$91</definedName>
    <definedName name="OSRRefD22_1x_0" localSheetId="59">'332'!$D$42:$D$44</definedName>
    <definedName name="OSRRefD22_1x_0" localSheetId="74">'405'!$D$33:$D$36</definedName>
    <definedName name="OSRRefD22_1x_0" localSheetId="75">'406'!$D$22</definedName>
    <definedName name="OSRRefD22_1x_0" localSheetId="76">'411'!$D$29:$D$32</definedName>
    <definedName name="OSRRefD22_1x_0" localSheetId="77">'412'!$D$22</definedName>
    <definedName name="OSRRefD22_1x_0" localSheetId="78">'413'!$D$26</definedName>
    <definedName name="OSRRefD22_1x_0" localSheetId="79">'414'!$D$23</definedName>
    <definedName name="OSRRefD22_1x_0" localSheetId="80">'415'!$D$33:$D$36</definedName>
    <definedName name="OSRRefD22_1x_0" localSheetId="81">'418'!$D$30:$D$33</definedName>
    <definedName name="OSRRefD22_1x_0" localSheetId="82">'423'!$D$23</definedName>
    <definedName name="OSRRefD22_1x_0" localSheetId="83">'424'!$D$22</definedName>
    <definedName name="OSRRefD22_1x_0" localSheetId="84">'425'!$D$27</definedName>
    <definedName name="OSRRefD22_1x_0" localSheetId="87">'430'!$D$29</definedName>
    <definedName name="OSRRefD22_1x_0" localSheetId="88">'433'!$D$35:$D$38</definedName>
    <definedName name="OSRRefD22_1x_0" localSheetId="90">'444'!$D$35:$D$39</definedName>
    <definedName name="OSRRefD22_1x_0" localSheetId="91">'450'!$D$34:$D$37</definedName>
    <definedName name="OSRRefD22_1x_0" localSheetId="73">'491'!$D$34:$D$38</definedName>
    <definedName name="OSRRefD22_1x_0" localSheetId="86">'492'!$D$35:$D$40</definedName>
    <definedName name="OSRRefD22_1x_0" localSheetId="93">'501'!$D$30:$D$34</definedName>
    <definedName name="OSRRefD22_1x_0" localSheetId="39">'Div 2'!$D$31:$D$36</definedName>
    <definedName name="OSRRefD22_1x_0" localSheetId="47">'Div 3'!$D$126:$D$132</definedName>
    <definedName name="OSRRefD22_1x_0" localSheetId="71">'Div 4'!$D$37:$D$42</definedName>
    <definedName name="OSRRefD22_1x_0" localSheetId="92">'Div 5'!$D$30:$D$34</definedName>
    <definedName name="OSRRefD22_1x_0" localSheetId="61">'Div 6'!$D$60:$D$63</definedName>
    <definedName name="OSRRefD22_1x_0" localSheetId="2">Summary!$D$152:$D$158</definedName>
    <definedName name="OSRRefD22_20x_0" localSheetId="48">'300'!$D$185</definedName>
    <definedName name="OSRRefD22_20x_0" localSheetId="49">'300 &amp; 317'!$D$207</definedName>
    <definedName name="OSRRefD22_20x_0" localSheetId="47">'Div 3'!$D$189:$D$190</definedName>
    <definedName name="OSRRefD22_20x_0" localSheetId="71">'Div 4'!$D$93:$D$94</definedName>
    <definedName name="OSRRefD22_20x_0" localSheetId="2">Summary!$D$209:$D$210</definedName>
    <definedName name="OSRRefD22_21x_0" localSheetId="48">'300'!$D$187:$D$189</definedName>
    <definedName name="OSRRefD22_21x_0" localSheetId="49">'300 &amp; 317'!$D$209:$D$211</definedName>
    <definedName name="OSRRefD22_21x_0" localSheetId="47">'Div 3'!$D$192</definedName>
    <definedName name="OSRRefD22_21x_0" localSheetId="71">'Div 4'!$D$96</definedName>
    <definedName name="OSRRefD22_21x_0" localSheetId="2">Summary!$D$212:$D$220</definedName>
    <definedName name="OSRRefD22_22x_0" localSheetId="48">'300'!$D$191</definedName>
    <definedName name="OSRRefD22_22x_0" localSheetId="49">'300 &amp; 317'!$D$213</definedName>
    <definedName name="OSRRefD22_22x_0" localSheetId="47">'Div 3'!$D$194:$D$196</definedName>
    <definedName name="OSRRefD22_22x_0" localSheetId="2">Summary!$D$222:$D$223</definedName>
    <definedName name="OSRRefD22_23x_0" localSheetId="47">'Div 3'!$D$198</definedName>
    <definedName name="OSRRefD22_23x_0" localSheetId="2">Summary!$D$225</definedName>
    <definedName name="OSRRefD22_24x_0" localSheetId="2">Summary!$D$227:$D$229</definedName>
    <definedName name="OSRRefD22_25x_0" localSheetId="2">Summary!$D$231</definedName>
    <definedName name="OSRRefD22_2x_0" localSheetId="40">'200'!$D$24</definedName>
    <definedName name="OSRRefD22_2x_0" localSheetId="41">'201'!$D$32</definedName>
    <definedName name="OSRRefD22_2x_0" localSheetId="42">'202'!$D$32</definedName>
    <definedName name="OSRRefD22_2x_0" localSheetId="43">'203'!$D$35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'300'!$D$130</definedName>
    <definedName name="OSRRefD22_2x_0" localSheetId="49">'300 &amp; 317'!$D$152</definedName>
    <definedName name="OSRRefD22_2x_0" localSheetId="50">'301'!$D$39</definedName>
    <definedName name="OSRRefD22_2x_0" localSheetId="52">'307'!$D$46</definedName>
    <definedName name="OSRRefD22_2x_0" localSheetId="53">'308'!$D$72</definedName>
    <definedName name="OSRRefD22_2x_0" localSheetId="65">'309'!$D$25:$D$26</definedName>
    <definedName name="OSRRefD22_2x_0" localSheetId="64">'310'!$D$43</definedName>
    <definedName name="OSRRefD22_2x_0" localSheetId="72">'310 &amp; 491'!$D$48</definedName>
    <definedName name="OSRRefD22_2x_0" localSheetId="54">'311'!$D$72</definedName>
    <definedName name="OSRRefD22_2x_0" localSheetId="66">'313'!$D$36</definedName>
    <definedName name="OSRRefD22_2x_0" localSheetId="57">'315'!$D$93</definedName>
    <definedName name="OSRRefD22_2x_0" localSheetId="60">'316'!$D$44</definedName>
    <definedName name="OSRRefD22_2x_0" localSheetId="62">'317'!$D$65</definedName>
    <definedName name="OSRRefD22_2x_0" localSheetId="63">'320'!$D$27</definedName>
    <definedName name="OSRRefD22_2x_0" localSheetId="67">'321'!$D$36</definedName>
    <definedName name="OSRRefD22_2x_0" localSheetId="68">'322'!$D$29</definedName>
    <definedName name="OSRRefD22_2x_0" localSheetId="69">'325'!$D$36</definedName>
    <definedName name="OSRRefD22_2x_0" localSheetId="58">'326'!$D$56</definedName>
    <definedName name="OSRRefD22_2x_0" localSheetId="51">'330'!$D$51</definedName>
    <definedName name="OSRRefD22_2x_0" localSheetId="56">'331'!$D$93</definedName>
    <definedName name="OSRRefD22_2x_0" localSheetId="59">'332'!$D$46</definedName>
    <definedName name="OSRRefD22_2x_0" localSheetId="74">'405'!$D$38</definedName>
    <definedName name="OSRRefD22_2x_0" localSheetId="75">'406'!$D$24</definedName>
    <definedName name="OSRRefD22_2x_0" localSheetId="76">'411'!$D$34</definedName>
    <definedName name="OSRRefD22_2x_0" localSheetId="77">'412'!$D$24</definedName>
    <definedName name="OSRRefD22_2x_0" localSheetId="78">'413'!$D$28</definedName>
    <definedName name="OSRRefD22_2x_0" localSheetId="79">'414'!$D$25</definedName>
    <definedName name="OSRRefD22_2x_0" localSheetId="80">'415'!$D$38</definedName>
    <definedName name="OSRRefD22_2x_0" localSheetId="81">'418'!$D$35</definedName>
    <definedName name="OSRRefD22_2x_0" localSheetId="82">'423'!$D$25</definedName>
    <definedName name="OSRRefD22_2x_0" localSheetId="83">'424'!$D$24</definedName>
    <definedName name="OSRRefD22_2x_0" localSheetId="84">'425'!$D$29</definedName>
    <definedName name="OSRRefD22_2x_0" localSheetId="87">'430'!$D$31</definedName>
    <definedName name="OSRRefD22_2x_0" localSheetId="88">'433'!$D$40</definedName>
    <definedName name="OSRRefD22_2x_0" localSheetId="90">'444'!$D$41</definedName>
    <definedName name="OSRRefD22_2x_0" localSheetId="91">'450'!$D$39</definedName>
    <definedName name="OSRRefD22_2x_0" localSheetId="73">'491'!$D$40</definedName>
    <definedName name="OSRRefD22_2x_0" localSheetId="86">'492'!$D$42</definedName>
    <definedName name="OSRRefD22_2x_0" localSheetId="93">'501'!$D$36</definedName>
    <definedName name="OSRRefD22_2x_0" localSheetId="39">'Div 2'!$D$38</definedName>
    <definedName name="OSRRefD22_2x_0" localSheetId="47">'Div 3'!$D$134</definedName>
    <definedName name="OSRRefD22_2x_0" localSheetId="71">'Div 4'!$D$44</definedName>
    <definedName name="OSRRefD22_2x_0" localSheetId="92">'Div 5'!$D$36</definedName>
    <definedName name="OSRRefD22_2x_0" localSheetId="61">'Div 6'!$D$65</definedName>
    <definedName name="OSRRefD22_2x_0" localSheetId="2">Summary!$D$160</definedName>
    <definedName name="OSRRefD22_3x_0" localSheetId="40">'200'!$D$26</definedName>
    <definedName name="OSRRefD22_3x_0" localSheetId="41">'201'!$D$34</definedName>
    <definedName name="OSRRefD22_3x_0" localSheetId="42">'202'!$D$34</definedName>
    <definedName name="OSRRefD22_3x_0" localSheetId="43">'203'!$D$37</definedName>
    <definedName name="OSRRefD22_3x_0" localSheetId="44">'204'!$D$36</definedName>
    <definedName name="OSRRefD22_3x_0" localSheetId="45">'205'!$D$33:$D$34</definedName>
    <definedName name="OSRRefD22_3x_0" localSheetId="46">'206'!$D$34</definedName>
    <definedName name="OSRRefD22_3x_0" localSheetId="48">'300'!$D$132</definedName>
    <definedName name="OSRRefD22_3x_0" localSheetId="49">'300 &amp; 317'!$D$154</definedName>
    <definedName name="OSRRefD22_3x_0" localSheetId="50">'301'!$D$41</definedName>
    <definedName name="OSRRefD22_3x_0" localSheetId="52">'307'!$D$48</definedName>
    <definedName name="OSRRefD22_3x_0" localSheetId="53">'308'!$D$74</definedName>
    <definedName name="OSRRefD22_3x_0" localSheetId="65">'309'!$D$28</definedName>
    <definedName name="OSRRefD22_3x_0" localSheetId="64">'310'!$D$45</definedName>
    <definedName name="OSRRefD22_3x_0" localSheetId="72">'310 &amp; 491'!$D$50</definedName>
    <definedName name="OSRRefD22_3x_0" localSheetId="54">'311'!$D$74</definedName>
    <definedName name="OSRRefD22_3x_0" localSheetId="66">'313'!$D$38</definedName>
    <definedName name="OSRRefD22_3x_0" localSheetId="57">'315'!$D$95:$D$96</definedName>
    <definedName name="OSRRefD22_3x_0" localSheetId="60">'316'!$D$46</definedName>
    <definedName name="OSRRefD22_3x_0" localSheetId="62">'317'!$D$67</definedName>
    <definedName name="OSRRefD22_3x_0" localSheetId="67">'321'!$D$38</definedName>
    <definedName name="OSRRefD22_3x_0" localSheetId="68">'322'!$D$31</definedName>
    <definedName name="OSRRefD22_3x_0" localSheetId="69">'325'!$D$38</definedName>
    <definedName name="OSRRefD22_3x_0" localSheetId="58">'326'!$D$58</definedName>
    <definedName name="OSRRefD22_3x_0" localSheetId="51">'330'!$D$53</definedName>
    <definedName name="OSRRefD22_3x_0" localSheetId="56">'331'!$D$95</definedName>
    <definedName name="OSRRefD22_3x_0" localSheetId="59">'332'!$D$48</definedName>
    <definedName name="OSRRefD22_3x_0" localSheetId="74">'405'!$D$40</definedName>
    <definedName name="OSRRefD22_3x_0" localSheetId="75">'406'!$D$26</definedName>
    <definedName name="OSRRefD22_3x_0" localSheetId="76">'411'!$D$36:$D$37</definedName>
    <definedName name="OSRRefD22_3x_0" localSheetId="77">'412'!$D$26</definedName>
    <definedName name="OSRRefD22_3x_0" localSheetId="78">'413'!$D$30</definedName>
    <definedName name="OSRRefD22_3x_0" localSheetId="79">'414'!$D$27</definedName>
    <definedName name="OSRRefD22_3x_0" localSheetId="80">'415'!$D$40</definedName>
    <definedName name="OSRRefD22_3x_0" localSheetId="81">'418'!$D$37</definedName>
    <definedName name="OSRRefD22_3x_0" localSheetId="82">'423'!$D$27</definedName>
    <definedName name="OSRRefD22_3x_0" localSheetId="83">'424'!$D$26</definedName>
    <definedName name="OSRRefD22_3x_0" localSheetId="84">'425'!$D$31</definedName>
    <definedName name="OSRRefD22_3x_0" localSheetId="87">'430'!$D$33</definedName>
    <definedName name="OSRRefD22_3x_0" localSheetId="88">'433'!$D$42</definedName>
    <definedName name="OSRRefD22_3x_0" localSheetId="90">'444'!$D$43</definedName>
    <definedName name="OSRRefD22_3x_0" localSheetId="91">'450'!$D$41</definedName>
    <definedName name="OSRRefD22_3x_0" localSheetId="73">'491'!$D$42</definedName>
    <definedName name="OSRRefD22_3x_0" localSheetId="86">'492'!$D$44</definedName>
    <definedName name="OSRRefD22_3x_0" localSheetId="93">'501'!$D$38</definedName>
    <definedName name="OSRRefD22_3x_0" localSheetId="39">'Div 2'!$D$40</definedName>
    <definedName name="OSRRefD22_3x_0" localSheetId="47">'Div 3'!$D$136</definedName>
    <definedName name="OSRRefD22_3x_0" localSheetId="71">'Div 4'!$D$46</definedName>
    <definedName name="OSRRefD22_3x_0" localSheetId="92">'Div 5'!$D$38</definedName>
    <definedName name="OSRRefD22_3x_0" localSheetId="61">'Div 6'!$D$67</definedName>
    <definedName name="OSRRefD22_3x_0" localSheetId="2">Summary!$D$162</definedName>
    <definedName name="OSRRefD22_4x_0" localSheetId="41">'201'!$D$36</definedName>
    <definedName name="OSRRefD22_4x_0" localSheetId="42">'202'!$D$36:$D$37</definedName>
    <definedName name="OSRRefD22_4x_0" localSheetId="43">'203'!$D$39</definedName>
    <definedName name="OSRRefD22_4x_0" localSheetId="44">'204'!$D$38:$D$40</definedName>
    <definedName name="OSRRefD22_4x_0" localSheetId="45">'205'!$D$36</definedName>
    <definedName name="OSRRefD22_4x_0" localSheetId="46">'206'!$D$36</definedName>
    <definedName name="OSRRefD22_4x_0" localSheetId="48">'300'!$D$134</definedName>
    <definedName name="OSRRefD22_4x_0" localSheetId="49">'300 &amp; 317'!$D$156</definedName>
    <definedName name="OSRRefD22_4x_0" localSheetId="50">'301'!$D$43</definedName>
    <definedName name="OSRRefD22_4x_0" localSheetId="52">'307'!$D$50:$D$51</definedName>
    <definedName name="OSRRefD22_4x_0" localSheetId="53">'308'!$D$76</definedName>
    <definedName name="OSRRefD22_4x_0" localSheetId="64">'310'!$D$47</definedName>
    <definedName name="OSRRefD22_4x_0" localSheetId="72">'310 &amp; 491'!$D$52</definedName>
    <definedName name="OSRRefD22_4x_0" localSheetId="54">'311'!$D$76</definedName>
    <definedName name="OSRRefD22_4x_0" localSheetId="66">'313'!$D$40</definedName>
    <definedName name="OSRRefD22_4x_0" localSheetId="57">'315'!$D$98</definedName>
    <definedName name="OSRRefD22_4x_0" localSheetId="60">'316'!$D$48</definedName>
    <definedName name="OSRRefD22_4x_0" localSheetId="62">'317'!$D$69</definedName>
    <definedName name="OSRRefD22_4x_0" localSheetId="67">'321'!$D$40</definedName>
    <definedName name="OSRRefD22_4x_0" localSheetId="68">'322'!$D$33:$D$34</definedName>
    <definedName name="OSRRefD22_4x_0" localSheetId="69">'325'!$D$40</definedName>
    <definedName name="OSRRefD22_4x_0" localSheetId="58">'326'!$D$60</definedName>
    <definedName name="OSRRefD22_4x_0" localSheetId="51">'330'!$D$55:$D$56</definedName>
    <definedName name="OSRRefD22_4x_0" localSheetId="56">'331'!$D$97</definedName>
    <definedName name="OSRRefD22_4x_0" localSheetId="59">'332'!$D$50</definedName>
    <definedName name="OSRRefD22_4x_0" localSheetId="74">'405'!$D$42</definedName>
    <definedName name="OSRRefD22_4x_0" localSheetId="75">'406'!$D$28</definedName>
    <definedName name="OSRRefD22_4x_0" localSheetId="76">'411'!$D$39</definedName>
    <definedName name="OSRRefD22_4x_0" localSheetId="77">'412'!$D$28</definedName>
    <definedName name="OSRRefD22_4x_0" localSheetId="78">'413'!$D$32</definedName>
    <definedName name="OSRRefD22_4x_0" localSheetId="80">'415'!$D$42</definedName>
    <definedName name="OSRRefD22_4x_0" localSheetId="81">'418'!$D$39:$D$40</definedName>
    <definedName name="OSRRefD22_4x_0" localSheetId="84">'425'!$D$33</definedName>
    <definedName name="OSRRefD22_4x_0" localSheetId="87">'430'!$D$35:$D$36</definedName>
    <definedName name="OSRRefD22_4x_0" localSheetId="88">'433'!$D$44</definedName>
    <definedName name="OSRRefD22_4x_0" localSheetId="90">'444'!$D$45</definedName>
    <definedName name="OSRRefD22_4x_0" localSheetId="91">'450'!$D$43</definedName>
    <definedName name="OSRRefD22_4x_0" localSheetId="73">'491'!$D$44</definedName>
    <definedName name="OSRRefD22_4x_0" localSheetId="86">'492'!$D$46</definedName>
    <definedName name="OSRRefD22_4x_0" localSheetId="93">'501'!$D$40</definedName>
    <definedName name="OSRRefD22_4x_0" localSheetId="39">'Div 2'!$D$42</definedName>
    <definedName name="OSRRefD22_4x_0" localSheetId="47">'Div 3'!$D$138</definedName>
    <definedName name="OSRRefD22_4x_0" localSheetId="71">'Div 4'!$D$48</definedName>
    <definedName name="OSRRefD22_4x_0" localSheetId="92">'Div 5'!$D$40</definedName>
    <definedName name="OSRRefD22_4x_0" localSheetId="61">'Div 6'!$D$69</definedName>
    <definedName name="OSRRefD22_4x_0" localSheetId="2">Summary!$D$164</definedName>
    <definedName name="OSRRefD22_5x_0" localSheetId="41">'201'!$D$38</definedName>
    <definedName name="OSRRefD22_5x_0" localSheetId="42">'202'!$D$39</definedName>
    <definedName name="OSRRefD22_5x_0" localSheetId="43">'203'!$D$41</definedName>
    <definedName name="OSRRefD22_5x_0" localSheetId="44">'204'!$D$42</definedName>
    <definedName name="OSRRefD22_5x_0" localSheetId="45">'205'!$D$38</definedName>
    <definedName name="OSRRefD22_5x_0" localSheetId="46">'206'!$D$38</definedName>
    <definedName name="OSRRefD22_5x_0" localSheetId="48">'300'!$D$136:$D$137</definedName>
    <definedName name="OSRRefD22_5x_0" localSheetId="49">'300 &amp; 317'!$D$158:$D$159</definedName>
    <definedName name="OSRRefD22_5x_0" localSheetId="50">'301'!$D$45:$D$46</definedName>
    <definedName name="OSRRefD22_5x_0" localSheetId="52">'307'!$D$53</definedName>
    <definedName name="OSRRefD22_5x_0" localSheetId="53">'308'!$D$78</definedName>
    <definedName name="OSRRefD22_5x_0" localSheetId="64">'310'!$D$49:$D$50</definedName>
    <definedName name="OSRRefD22_5x_0" localSheetId="72">'310 &amp; 491'!$D$54:$D$55</definedName>
    <definedName name="OSRRefD22_5x_0" localSheetId="54">'311'!$D$78</definedName>
    <definedName name="OSRRefD22_5x_0" localSheetId="66">'313'!$D$42</definedName>
    <definedName name="OSRRefD22_5x_0" localSheetId="57">'315'!$D$100:$D$101</definedName>
    <definedName name="OSRRefD22_5x_0" localSheetId="60">'316'!$D$50:$D$51</definedName>
    <definedName name="OSRRefD22_5x_0" localSheetId="62">'317'!$D$71:$D$72</definedName>
    <definedName name="OSRRefD22_5x_0" localSheetId="67">'321'!$D$42</definedName>
    <definedName name="OSRRefD22_5x_0" localSheetId="68">'322'!$D$36</definedName>
    <definedName name="OSRRefD22_5x_0" localSheetId="69">'325'!$D$42:$D$43</definedName>
    <definedName name="OSRRefD22_5x_0" localSheetId="58">'326'!$D$62</definedName>
    <definedName name="OSRRefD22_5x_0" localSheetId="51">'330'!$D$58:$D$59</definedName>
    <definedName name="OSRRefD22_5x_0" localSheetId="56">'331'!$D$99:$D$100</definedName>
    <definedName name="OSRRefD22_5x_0" localSheetId="59">'332'!$D$52:$D$53</definedName>
    <definedName name="OSRRefD22_5x_0" localSheetId="74">'405'!$D$44:$D$45</definedName>
    <definedName name="OSRRefD22_5x_0" localSheetId="76">'411'!$D$41</definedName>
    <definedName name="OSRRefD22_5x_0" localSheetId="78">'413'!$D$34</definedName>
    <definedName name="OSRRefD22_5x_0" localSheetId="80">'415'!$D$44:$D$45</definedName>
    <definedName name="OSRRefD22_5x_0" localSheetId="81">'418'!$D$42</definedName>
    <definedName name="OSRRefD22_5x_0" localSheetId="87">'430'!$D$38</definedName>
    <definedName name="OSRRefD22_5x_0" localSheetId="88">'433'!$D$46</definedName>
    <definedName name="OSRRefD22_5x_0" localSheetId="90">'444'!$D$47</definedName>
    <definedName name="OSRRefD22_5x_0" localSheetId="91">'450'!$D$45</definedName>
    <definedName name="OSRRefD22_5x_0" localSheetId="73">'491'!$D$46:$D$47</definedName>
    <definedName name="OSRRefD22_5x_0" localSheetId="86">'492'!$D$48</definedName>
    <definedName name="OSRRefD22_5x_0" localSheetId="93">'501'!$D$42</definedName>
    <definedName name="OSRRefD22_5x_0" localSheetId="39">'Div 2'!$D$44</definedName>
    <definedName name="OSRRefD22_5x_0" localSheetId="47">'Div 3'!$D$140:$D$141</definedName>
    <definedName name="OSRRefD22_5x_0" localSheetId="71">'Div 4'!$D$50:$D$51</definedName>
    <definedName name="OSRRefD22_5x_0" localSheetId="92">'Div 5'!$D$42</definedName>
    <definedName name="OSRRefD22_5x_0" localSheetId="61">'Div 6'!$D$71:$D$72</definedName>
    <definedName name="OSRRefD22_5x_0" localSheetId="2">Summary!$D$166:$D$167</definedName>
    <definedName name="OSRRefD22_6x_0" localSheetId="41">'201'!$D$40</definedName>
    <definedName name="OSRRefD22_6x_0" localSheetId="42">'202'!$D$41:$D$43</definedName>
    <definedName name="OSRRefD22_6x_0" localSheetId="43">'203'!$D$43:$D$44</definedName>
    <definedName name="OSRRefD22_6x_0" localSheetId="44">'204'!$D$44:$D$45</definedName>
    <definedName name="OSRRefD22_6x_0" localSheetId="46">'206'!$D$40</definedName>
    <definedName name="OSRRefD22_6x_0" localSheetId="48">'300'!$D$139:$D$140</definedName>
    <definedName name="OSRRefD22_6x_0" localSheetId="49">'300 &amp; 317'!$D$161:$D$162</definedName>
    <definedName name="OSRRefD22_6x_0" localSheetId="50">'301'!$D$48</definedName>
    <definedName name="OSRRefD22_6x_0" localSheetId="52">'307'!$D$55</definedName>
    <definedName name="OSRRefD22_6x_0" localSheetId="53">'308'!$D$80</definedName>
    <definedName name="OSRRefD22_6x_0" localSheetId="64">'310'!$D$52</definedName>
    <definedName name="OSRRefD22_6x_0" localSheetId="72">'310 &amp; 491'!$D$57</definedName>
    <definedName name="OSRRefD22_6x_0" localSheetId="54">'311'!$D$80</definedName>
    <definedName name="OSRRefD22_6x_0" localSheetId="57">'315'!$D$103:$D$104</definedName>
    <definedName name="OSRRefD22_6x_0" localSheetId="60">'316'!$D$53:$D$54</definedName>
    <definedName name="OSRRefD22_6x_0" localSheetId="62">'317'!$D$74</definedName>
    <definedName name="OSRRefD22_6x_0" localSheetId="67">'321'!$D$44:$D$45</definedName>
    <definedName name="OSRRefD22_6x_0" localSheetId="68">'322'!$D$38</definedName>
    <definedName name="OSRRefD22_6x_0" localSheetId="69">'325'!$D$45</definedName>
    <definedName name="OSRRefD22_6x_0" localSheetId="58">'326'!$D$64</definedName>
    <definedName name="OSRRefD22_6x_0" localSheetId="51">'330'!$D$61</definedName>
    <definedName name="OSRRefD22_6x_0" localSheetId="56">'331'!$D$102</definedName>
    <definedName name="OSRRefD22_6x_0" localSheetId="59">'332'!$D$55:$D$56</definedName>
    <definedName name="OSRRefD22_6x_0" localSheetId="74">'405'!$D$47</definedName>
    <definedName name="OSRRefD22_6x_0" localSheetId="76">'411'!$D$43</definedName>
    <definedName name="OSRRefD22_6x_0" localSheetId="80">'415'!$D$47</definedName>
    <definedName name="OSRRefD22_6x_0" localSheetId="81">'418'!$D$44</definedName>
    <definedName name="OSRRefD22_6x_0" localSheetId="87">'430'!$D$40</definedName>
    <definedName name="OSRRefD22_6x_0" localSheetId="88">'433'!$D$48</definedName>
    <definedName name="OSRRefD22_6x_0" localSheetId="90">'444'!$D$49</definedName>
    <definedName name="OSRRefD22_6x_0" localSheetId="91">'450'!$D$47</definedName>
    <definedName name="OSRRefD22_6x_0" localSheetId="73">'491'!$D$49</definedName>
    <definedName name="OSRRefD22_6x_0" localSheetId="86">'492'!$D$50</definedName>
    <definedName name="OSRRefD22_6x_0" localSheetId="93">'501'!$D$44</definedName>
    <definedName name="OSRRefD22_6x_0" localSheetId="39">'Div 2'!$D$46</definedName>
    <definedName name="OSRRefD22_6x_0" localSheetId="47">'Div 3'!$D$143:$D$144</definedName>
    <definedName name="OSRRefD22_6x_0" localSheetId="71">'Div 4'!$D$53</definedName>
    <definedName name="OSRRefD22_6x_0" localSheetId="92">'Div 5'!$D$44</definedName>
    <definedName name="OSRRefD22_6x_0" localSheetId="61">'Div 6'!$D$74</definedName>
    <definedName name="OSRRefD22_6x_0" localSheetId="2">Summary!$D$169:$D$170</definedName>
    <definedName name="OSRRefD22_7x_0" localSheetId="41">'201'!$D$42</definedName>
    <definedName name="OSRRefD22_7x_0" localSheetId="42">'202'!$D$45</definedName>
    <definedName name="OSRRefD22_7x_0" localSheetId="43">'203'!$D$46:$D$47</definedName>
    <definedName name="OSRRefD22_7x_0" localSheetId="48">'300'!$D$142</definedName>
    <definedName name="OSRRefD22_7x_0" localSheetId="49">'300 &amp; 317'!$D$164</definedName>
    <definedName name="OSRRefD22_7x_0" localSheetId="50">'301'!$D$50</definedName>
    <definedName name="OSRRefD22_7x_0" localSheetId="52">'307'!$D$57</definedName>
    <definedName name="OSRRefD22_7x_0" localSheetId="53">'308'!$D$82</definedName>
    <definedName name="OSRRefD22_7x_0" localSheetId="64">'310'!$D$54</definedName>
    <definedName name="OSRRefD22_7x_0" localSheetId="72">'310 &amp; 491'!$D$59</definedName>
    <definedName name="OSRRefD22_7x_0" localSheetId="54">'311'!$D$82</definedName>
    <definedName name="OSRRefD22_7x_0" localSheetId="57">'315'!$D$106:$D$107</definedName>
    <definedName name="OSRRefD22_7x_0" localSheetId="60">'316'!$D$56</definedName>
    <definedName name="OSRRefD22_7x_0" localSheetId="62">'317'!$D$76</definedName>
    <definedName name="OSRRefD22_7x_0" localSheetId="67">'321'!$D$47</definedName>
    <definedName name="OSRRefD22_7x_0" localSheetId="69">'325'!$D$47</definedName>
    <definedName name="OSRRefD22_7x_0" localSheetId="58">'326'!$D$66</definedName>
    <definedName name="OSRRefD22_7x_0" localSheetId="51">'330'!$D$63</definedName>
    <definedName name="OSRRefD22_7x_0" localSheetId="56">'331'!$D$104:$D$105</definedName>
    <definedName name="OSRRefD22_7x_0" localSheetId="59">'332'!$D$58</definedName>
    <definedName name="OSRRefD22_7x_0" localSheetId="74">'405'!$D$49</definedName>
    <definedName name="OSRRefD22_7x_0" localSheetId="76">'411'!$D$45</definedName>
    <definedName name="OSRRefD22_7x_0" localSheetId="80">'415'!$D$49</definedName>
    <definedName name="OSRRefD22_7x_0" localSheetId="81">'418'!$D$46:$D$47</definedName>
    <definedName name="OSRRefD22_7x_0" localSheetId="88">'433'!$D$50</definedName>
    <definedName name="OSRRefD22_7x_0" localSheetId="90">'444'!$D$51</definedName>
    <definedName name="OSRRefD22_7x_0" localSheetId="91">'450'!$D$49</definedName>
    <definedName name="OSRRefD22_7x_0" localSheetId="73">'491'!$D$51</definedName>
    <definedName name="OSRRefD22_7x_0" localSheetId="86">'492'!$D$52</definedName>
    <definedName name="OSRRefD22_7x_0" localSheetId="93">'501'!$D$46</definedName>
    <definedName name="OSRRefD22_7x_0" localSheetId="39">'Div 2'!$D$48</definedName>
    <definedName name="OSRRefD22_7x_0" localSheetId="47">'Div 3'!$D$146</definedName>
    <definedName name="OSRRefD22_7x_0" localSheetId="71">'Div 4'!$D$55</definedName>
    <definedName name="OSRRefD22_7x_0" localSheetId="92">'Div 5'!$D$46</definedName>
    <definedName name="OSRRefD22_7x_0" localSheetId="61">'Div 6'!$D$76</definedName>
    <definedName name="OSRRefD22_7x_0" localSheetId="2">Summary!$D$172</definedName>
    <definedName name="OSRRefD22_8x_0" localSheetId="41">'201'!$D$44:$D$45</definedName>
    <definedName name="OSRRefD22_8x_0" localSheetId="42">'202'!$D$47:$D$48</definedName>
    <definedName name="OSRRefD22_8x_0" localSheetId="43">'203'!$D$49</definedName>
    <definedName name="OSRRefD22_8x_0" localSheetId="48">'300'!$D$144</definedName>
    <definedName name="OSRRefD22_8x_0" localSheetId="49">'300 &amp; 317'!$D$166</definedName>
    <definedName name="OSRRefD22_8x_0" localSheetId="50">'301'!$D$52</definedName>
    <definedName name="OSRRefD22_8x_0" localSheetId="52">'307'!$D$59:$D$60</definedName>
    <definedName name="OSRRefD22_8x_0" localSheetId="53">'308'!$D$84</definedName>
    <definedName name="OSRRefD22_8x_0" localSheetId="64">'310'!$D$56</definedName>
    <definedName name="OSRRefD22_8x_0" localSheetId="72">'310 &amp; 491'!$D$61</definedName>
    <definedName name="OSRRefD22_8x_0" localSheetId="54">'311'!$D$84</definedName>
    <definedName name="OSRRefD22_8x_0" localSheetId="57">'315'!$D$109:$D$110</definedName>
    <definedName name="OSRRefD22_8x_0" localSheetId="60">'316'!$D$58:$D$62</definedName>
    <definedName name="OSRRefD22_8x_0" localSheetId="62">'317'!$D$78:$D$80</definedName>
    <definedName name="OSRRefD22_8x_0" localSheetId="67">'321'!$D$49:$D$52</definedName>
    <definedName name="OSRRefD22_8x_0" localSheetId="69">'325'!$D$49</definedName>
    <definedName name="OSRRefD22_8x_0" localSheetId="58">'326'!$D$68</definedName>
    <definedName name="OSRRefD22_8x_0" localSheetId="51">'330'!$D$65:$D$66</definedName>
    <definedName name="OSRRefD22_8x_0" localSheetId="56">'331'!$D$107</definedName>
    <definedName name="OSRRefD22_8x_0" localSheetId="59">'332'!$D$60:$D$64</definedName>
    <definedName name="OSRRefD22_8x_0" localSheetId="74">'405'!$D$51:$D$52</definedName>
    <definedName name="OSRRefD22_8x_0" localSheetId="76">'411'!$D$47:$D$49</definedName>
    <definedName name="OSRRefD22_8x_0" localSheetId="80">'415'!$D$51</definedName>
    <definedName name="OSRRefD22_8x_0" localSheetId="81">'418'!$D$49</definedName>
    <definedName name="OSRRefD22_8x_0" localSheetId="88">'433'!$D$52</definedName>
    <definedName name="OSRRefD22_8x_0" localSheetId="90">'444'!$D$53</definedName>
    <definedName name="OSRRefD22_8x_0" localSheetId="91">'450'!$D$51</definedName>
    <definedName name="OSRRefD22_8x_0" localSheetId="73">'491'!$D$53</definedName>
    <definedName name="OSRRefD22_8x_0" localSheetId="86">'492'!$D$54</definedName>
    <definedName name="OSRRefD22_8x_0" localSheetId="93">'501'!$D$48</definedName>
    <definedName name="OSRRefD22_8x_0" localSheetId="39">'Div 2'!$D$50:$D$51</definedName>
    <definedName name="OSRRefD22_8x_0" localSheetId="47">'Div 3'!$D$148</definedName>
    <definedName name="OSRRefD22_8x_0" localSheetId="71">'Div 4'!$D$57</definedName>
    <definedName name="OSRRefD22_8x_0" localSheetId="92">'Div 5'!$D$48</definedName>
    <definedName name="OSRRefD22_8x_0" localSheetId="61">'Div 6'!$D$78:$D$80</definedName>
    <definedName name="OSRRefD22_8x_0" localSheetId="2">Summary!$D$174</definedName>
    <definedName name="OSRRefD22_9x_0" localSheetId="41">'201'!$D$47</definedName>
    <definedName name="OSRRefD22_9x_0" localSheetId="42">'202'!$D$50</definedName>
    <definedName name="OSRRefD22_9x_0" localSheetId="43">'203'!$D$51:$D$54</definedName>
    <definedName name="OSRRefD22_9x_0" localSheetId="48">'300'!$D$146:$D$147</definedName>
    <definedName name="OSRRefD22_9x_0" localSheetId="49">'300 &amp; 317'!$D$168:$D$169</definedName>
    <definedName name="OSRRefD22_9x_0" localSheetId="50">'301'!$D$54</definedName>
    <definedName name="OSRRefD22_9x_0" localSheetId="52">'307'!$D$62:$D$63</definedName>
    <definedName name="OSRRefD22_9x_0" localSheetId="53">'308'!$D$86:$D$87</definedName>
    <definedName name="OSRRefD22_9x_0" localSheetId="64">'310'!$D$58</definedName>
    <definedName name="OSRRefD22_9x_0" localSheetId="72">'310 &amp; 491'!$D$63</definedName>
    <definedName name="OSRRefD22_9x_0" localSheetId="54">'311'!$D$86:$D$87</definedName>
    <definedName name="OSRRefD22_9x_0" localSheetId="57">'315'!$D$112:$D$114</definedName>
    <definedName name="OSRRefD22_9x_0" localSheetId="60">'316'!$D$64</definedName>
    <definedName name="OSRRefD22_9x_0" localSheetId="62">'317'!$D$82</definedName>
    <definedName name="OSRRefD22_9x_0" localSheetId="67">'321'!$D$54</definedName>
    <definedName name="OSRRefD22_9x_0" localSheetId="69">'325'!$D$51:$D$52</definedName>
    <definedName name="OSRRefD22_9x_0" localSheetId="58">'326'!$D$70</definedName>
    <definedName name="OSRRefD22_9x_0" localSheetId="51">'330'!$D$68:$D$69</definedName>
    <definedName name="OSRRefD22_9x_0" localSheetId="56">'331'!$D$109:$D$110</definedName>
    <definedName name="OSRRefD22_9x_0" localSheetId="59">'332'!$D$66</definedName>
    <definedName name="OSRRefD22_9x_0" localSheetId="74">'405'!$D$54:$D$56</definedName>
    <definedName name="OSRRefD22_9x_0" localSheetId="76">'411'!$D$51:$D$52</definedName>
    <definedName name="OSRRefD22_9x_0" localSheetId="80">'415'!$D$53</definedName>
    <definedName name="OSRRefD22_9x_0" localSheetId="81">'418'!$D$51:$D$53</definedName>
    <definedName name="OSRRefD22_9x_0" localSheetId="88">'433'!$D$54</definedName>
    <definedName name="OSRRefD22_9x_0" localSheetId="90">'444'!$D$55</definedName>
    <definedName name="OSRRefD22_9x_0" localSheetId="91">'450'!$D$53</definedName>
    <definedName name="OSRRefD22_9x_0" localSheetId="73">'491'!$D$55</definedName>
    <definedName name="OSRRefD22_9x_0" localSheetId="86">'492'!$D$56</definedName>
    <definedName name="OSRRefD22_9x_0" localSheetId="93">'501'!$D$50</definedName>
    <definedName name="OSRRefD22_9x_0" localSheetId="39">'Div 2'!$D$53</definedName>
    <definedName name="OSRRefD22_9x_0" localSheetId="47">'Div 3'!$D$150:$D$151</definedName>
    <definedName name="OSRRefD22_9x_0" localSheetId="71">'Div 4'!$D$59</definedName>
    <definedName name="OSRRefD22_9x_0" localSheetId="92">'Div 5'!$D$50</definedName>
    <definedName name="OSRRefD22_9x_0" localSheetId="61">'Div 6'!$D$82</definedName>
    <definedName name="OSRRefD22_9x_0" localSheetId="2">Summary!$D$176</definedName>
    <definedName name="OSRRefD22x_0" localSheetId="40">'200'!$D$20,'200'!$D$22,'200'!$D$24,'200'!$D$26</definedName>
    <definedName name="OSRRefD22x_0" localSheetId="41">'201'!$D$20:$D$27,'201'!$D$29:$D$30,'201'!$D$32,'201'!$D$34,'201'!$D$36,'201'!$D$38,'201'!$D$40,'201'!$D$42,'201'!$D$44:$D$45,'201'!$D$47,'201'!$D$49:$D$50,'201'!$D$52</definedName>
    <definedName name="OSRRefD22x_0" localSheetId="42">'202'!$D$20:$D$27,'202'!$D$29:$D$30,'202'!$D$32,'202'!$D$34,'202'!$D$36:$D$37,'202'!$D$39,'202'!$D$41:$D$43,'202'!$D$45,'202'!$D$47:$D$48,'202'!$D$50,'202'!$D$52,'202'!$D$54</definedName>
    <definedName name="OSRRefD22x_0" localSheetId="43">'203'!$D$20:$D$28,'203'!$D$30:$D$33,'203'!$D$35,'203'!$D$37,'203'!$D$39,'203'!$D$41,'203'!$D$43:$D$44,'203'!$D$46:$D$47,'203'!$D$49,'203'!$D$51:$D$54,'203'!$D$56</definedName>
    <definedName name="OSRRefD22x_0" localSheetId="44">'204'!$D$20:$D$28,'204'!$D$30:$D$32,'204'!$D$34,'204'!$D$36,'204'!$D$38:$D$40,'204'!$D$42,'204'!$D$44:$D$45</definedName>
    <definedName name="OSRRefD22x_0" localSheetId="45">'205'!$D$20:$D$27,'205'!$D$29,'205'!$D$31,'205'!$D$33:$D$34,'205'!$D$36,'205'!$D$38</definedName>
    <definedName name="OSRRefD22x_0" localSheetId="46">'206'!$D$20:$D$26,'206'!$D$28:$D$30,'206'!$D$32,'206'!$D$34,'206'!$D$36,'206'!$D$38,'206'!$D$40</definedName>
    <definedName name="OSRRefD22x_0" localSheetId="48">'300'!$D$111:$D$120,'300'!$D$122:$D$128,'300'!$D$130,'300'!$D$132,'300'!$D$134,'300'!$D$136:$D$137,'300'!$D$139:$D$140,'300'!$D$142,'300'!$D$144,'300'!$D$146:$D$147,'300'!$D$149,'300'!$D$151,'300'!$D$153:$D$154,'300'!$D$156,'300'!$D$158:$D$161,'300'!$D$163:$D$165,'300'!$D$167:$D$170,'300'!$D$172:$D$173,'300'!$D$175:$D$180,'300'!$D$182:$D$183,'300'!$D$185,'300'!$D$187:$D$189,'300'!$D$191</definedName>
    <definedName name="OSRRefD22x_0" localSheetId="49">'300 &amp; 317'!$D$133:$D$142,'300 &amp; 317'!$D$144:$D$150,'300 &amp; 317'!$D$152,'300 &amp; 317'!$D$154,'300 &amp; 317'!$D$156,'300 &amp; 317'!$D$158:$D$159,'300 &amp; 317'!$D$161:$D$162,'300 &amp; 317'!$D$164,'300 &amp; 317'!$D$166,'300 &amp; 317'!$D$168:$D$169,'300 &amp; 317'!$D$171,'300 &amp; 317'!$D$173,'300 &amp; 317'!$D$175:$D$176,'300 &amp; 317'!$D$178,'300 &amp; 317'!$D$180:$D$183,'300 &amp; 317'!$D$185:$D$187,'300 &amp; 317'!$D$189:$D$192,'300 &amp; 317'!$D$194:$D$195,'300 &amp; 317'!$D$197:$D$202,'300 &amp; 317'!$D$204:$D$205,'300 &amp; 317'!$D$207,'300 &amp; 317'!$D$209:$D$211,'300 &amp; 317'!$D$213</definedName>
    <definedName name="OSRRefD22x_0" localSheetId="50">'301'!$D$20:$D$29,'301'!$D$31:$D$37,'301'!$D$39,'301'!$D$41,'301'!$D$43,'301'!$D$45:$D$46,'301'!$D$48,'301'!$D$50,'301'!$D$52,'301'!$D$54,'301'!$D$56,'301'!$D$58,'301'!$D$60,'301'!$D$62:$D$65,'301'!$D$67:$D$69,'301'!$D$71:$D$75,'301'!$D$77,'301'!$D$79,'301'!$D$81:$D$82,'301'!$D$84</definedName>
    <definedName name="OSRRefD22x_0" localSheetId="52">'307'!$D$39:$D$41,'307'!$D$43:$D$44,'307'!$D$46,'307'!$D$48,'307'!$D$50:$D$51,'307'!$D$53,'307'!$D$55,'307'!$D$57,'307'!$D$59:$D$60,'307'!$D$62:$D$63,'307'!$D$65:$D$67,'307'!$D$69</definedName>
    <definedName name="OSRRefD22x_0" localSheetId="53">'308'!$D$54:$D$62,'308'!$D$64:$D$70,'308'!$D$72,'308'!$D$74,'308'!$D$76,'308'!$D$78,'308'!$D$80,'308'!$D$82,'308'!$D$84,'308'!$D$86:$D$87,'308'!$D$89,'308'!$D$91:$D$92,'308'!$D$94:$D$95,'308'!$D$97</definedName>
    <definedName name="OSRRefD22x_0" localSheetId="65">'309'!$D$20,'309'!$D$22:$D$23,'309'!$D$25:$D$26,'309'!$D$28</definedName>
    <definedName name="OSRRefD22x_0" localSheetId="64">'310'!$D$30:$D$37,'310'!$D$39:$D$41,'310'!$D$43,'310'!$D$45,'310'!$D$47,'310'!$D$49:$D$50,'310'!$D$52,'310'!$D$54,'310'!$D$56,'310'!$D$58,'310'!$D$60:$D$61,'310'!$D$63:$D$65,'310'!$D$67:$D$70,'310'!$D$72,'310'!$D$74</definedName>
    <definedName name="OSRRefD22x_0" localSheetId="72">'310 &amp; 491'!$D$33:$D$40,'310 &amp; 491'!$D$42:$D$46,'310 &amp; 491'!$D$48,'310 &amp; 491'!$D$50,'310 &amp; 491'!$D$52,'310 &amp; 491'!$D$54:$D$55,'310 &amp; 491'!$D$57,'310 &amp; 491'!$D$59,'310 &amp; 491'!$D$61,'310 &amp; 491'!$D$63,'310 &amp; 491'!$D$65,'310 &amp; 491'!$D$67,'310 &amp; 491'!$D$69,'310 &amp; 491'!$D$71:$D$73,'310 &amp; 491'!$D$75:$D$78,'310 &amp; 491'!$D$80,'310 &amp; 491'!$D$82:$D$88,'310 &amp; 491'!$D$90,'310 &amp; 491'!$D$92,'310 &amp; 491'!$D$94</definedName>
    <definedName name="OSRRefD22x_0" localSheetId="54">'311'!$D$54:$D$62,'311'!$D$64:$D$70,'311'!$D$72,'311'!$D$74,'311'!$D$76,'311'!$D$78,'311'!$D$80,'311'!$D$82,'311'!$D$84,'311'!$D$86:$D$87,'311'!$D$89,'311'!$D$91:$D$92,'311'!$D$94:$D$95,'311'!$D$97</definedName>
    <definedName name="OSRRefD22x_0" localSheetId="66">'313'!$D$25:$D$32,'313'!$D$34,'313'!$D$36,'313'!$D$38,'313'!$D$40,'313'!$D$42</definedName>
    <definedName name="OSRRefD22x_0" localSheetId="57">'315'!$D$78:$D$85,'315'!$D$87:$D$91,'315'!$D$93,'315'!$D$95:$D$96,'315'!$D$98,'315'!$D$100:$D$101,'315'!$D$103:$D$104,'315'!$D$106:$D$107,'315'!$D$109:$D$110,'315'!$D$112:$D$114,'315'!$D$116,'315'!$D$118</definedName>
    <definedName name="OSRRefD22x_0" localSheetId="60">'316'!$D$31:$D$38,'316'!$D$40:$D$42,'316'!$D$44,'316'!$D$46,'316'!$D$48,'316'!$D$50:$D$51,'316'!$D$53:$D$54,'316'!$D$56,'316'!$D$58:$D$62,'316'!$D$64,'316'!$D$66</definedName>
    <definedName name="OSRRefD22x_0" localSheetId="62">'317'!$D$50:$D$58,'317'!$D$60:$D$63,'317'!$D$65,'317'!$D$67,'317'!$D$69,'317'!$D$71:$D$72,'317'!$D$74,'317'!$D$76,'317'!$D$78:$D$80,'317'!$D$82</definedName>
    <definedName name="OSRRefD22x_0" localSheetId="63">'320'!$D$22:$D$23,'320'!$D$25,'320'!$D$27</definedName>
    <definedName name="OSRRefD22x_0" localSheetId="67">'321'!$D$23:$D$30,'321'!$D$32:$D$34,'321'!$D$36,'321'!$D$38,'321'!$D$40,'321'!$D$42,'321'!$D$44:$D$45,'321'!$D$47,'321'!$D$49:$D$52,'321'!$D$54,'321'!$D$56</definedName>
    <definedName name="OSRRefD22x_0" localSheetId="68">'322'!$D$21:$D$25,'322'!$D$27,'322'!$D$29,'322'!$D$31,'322'!$D$33:$D$34,'322'!$D$36,'322'!$D$38</definedName>
    <definedName name="OSRRefD22x_0" localSheetId="69">'325'!$D$24:$D$30,'325'!$D$32:$D$34,'325'!$D$36,'325'!$D$38,'325'!$D$40,'325'!$D$42:$D$43,'325'!$D$45,'325'!$D$47,'325'!$D$49,'325'!$D$51:$D$52,'325'!$D$54:$D$56,'325'!$D$58:$D$60,'325'!$D$62,'325'!$D$64</definedName>
    <definedName name="OSRRefD22x_0" localSheetId="58">'326'!$D$41:$D$48,'326'!$D$50:$D$54,'326'!$D$56,'326'!$D$58,'326'!$D$60,'326'!$D$62,'326'!$D$64,'326'!$D$66,'326'!$D$68,'326'!$D$70,'326'!$D$72:$D$73,'326'!$D$75,'326'!$D$77:$D$79,'326'!$D$81,'326'!$D$83,'326'!$D$85</definedName>
    <definedName name="OSRRefD22x_0" localSheetId="51">'330'!$D$43:$D$46,'330'!$D$48:$D$49,'330'!$D$51,'330'!$D$53,'330'!$D$55:$D$56,'330'!$D$58:$D$59,'330'!$D$61,'330'!$D$63,'330'!$D$65:$D$66,'330'!$D$68:$D$69,'330'!$D$71:$D$73,'330'!$D$75</definedName>
    <definedName name="OSRRefD22x_0" localSheetId="56">'331'!$D$78:$D$85,'331'!$D$87:$D$91,'331'!$D$93,'331'!$D$95,'331'!$D$97,'331'!$D$99:$D$100,'331'!$D$102,'331'!$D$104:$D$105,'331'!$D$107,'331'!$D$109:$D$110,'331'!$D$112,'331'!$D$114:$D$115,'331'!$D$117:$D$118,'331'!$D$120:$D$121,'331'!$D$123,'331'!$D$125:$D$128,'331'!$D$130,'331'!$D$132,'331'!$D$134</definedName>
    <definedName name="OSRRefD22x_0" localSheetId="59">'332'!$D$33:$D$40,'332'!$D$42:$D$44,'332'!$D$46,'332'!$D$48,'332'!$D$50,'332'!$D$52:$D$53,'332'!$D$55:$D$56,'332'!$D$58,'332'!$D$60:$D$64,'332'!$D$66,'332'!$D$68</definedName>
    <definedName name="OSRRefD22x_0" localSheetId="74">'405'!$D$24:$D$31,'405'!$D$33:$D$36,'405'!$D$38,'405'!$D$40,'405'!$D$42,'405'!$D$44:$D$45,'405'!$D$47,'405'!$D$49,'405'!$D$51:$D$52,'405'!$D$54:$D$56,'405'!$D$58,'405'!$D$60</definedName>
    <definedName name="OSRRefD22x_0" localSheetId="75">'406'!$D$20,'406'!$D$22,'406'!$D$24,'406'!$D$26,'406'!$D$28</definedName>
    <definedName name="OSRRefD22x_0" localSheetId="76">'411'!$D$20:$D$27,'411'!$D$29:$D$32,'411'!$D$34,'411'!$D$36:$D$37,'411'!$D$39,'411'!$D$41,'411'!$D$43,'411'!$D$45,'411'!$D$47:$D$49,'411'!$D$51:$D$52,'411'!$D$54,'411'!$D$56,'411'!$D$58,'411'!$D$60</definedName>
    <definedName name="OSRRefD22x_0" localSheetId="77">'412'!$D$20,'412'!$D$22,'412'!$D$24,'412'!$D$26,'412'!$D$28</definedName>
    <definedName name="OSRRefD22x_0" localSheetId="78">'413'!$D$20:$D$24,'413'!$D$26,'413'!$D$28,'413'!$D$30,'413'!$D$32,'413'!$D$34</definedName>
    <definedName name="OSRRefD22x_0" localSheetId="79">'414'!$D$21,'414'!$D$23,'414'!$D$25,'414'!$D$27</definedName>
    <definedName name="OSRRefD22x_0" localSheetId="80">'415'!$D$24:$D$31,'415'!$D$33:$D$36,'415'!$D$38,'415'!$D$40,'415'!$D$42,'415'!$D$44:$D$45,'415'!$D$47,'415'!$D$49,'415'!$D$51,'415'!$D$53,'415'!$D$55:$D$56,'415'!$D$58:$D$61,'415'!$D$63,'415'!$D$65:$D$70,'415'!$D$72,'415'!$D$74</definedName>
    <definedName name="OSRRefD22x_0" localSheetId="81">'418'!$D$21:$D$28,'418'!$D$30:$D$33,'418'!$D$35,'418'!$D$37,'418'!$D$39:$D$40,'418'!$D$42,'418'!$D$44,'418'!$D$46:$D$47,'418'!$D$49,'418'!$D$51:$D$53,'418'!$D$55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'425'!$D$21:$D$25,'425'!$D$27,'425'!$D$29,'425'!$D$31,'425'!$D$33</definedName>
    <definedName name="OSRRefD22x_0" localSheetId="87">'430'!$D$20:$D$27,'430'!$D$29,'430'!$D$31,'430'!$D$33,'430'!$D$35:$D$36,'430'!$D$38,'430'!$D$40</definedName>
    <definedName name="OSRRefD22x_0" localSheetId="88">'433'!$D$25:$D$33,'433'!$D$35:$D$38,'433'!$D$40,'433'!$D$42,'433'!$D$44,'433'!$D$46,'433'!$D$48,'433'!$D$50,'433'!$D$52,'433'!$D$54,'433'!$D$56,'433'!$D$58:$D$60,'433'!$D$62:$D$66,'433'!$D$68</definedName>
    <definedName name="OSRRefD22x_0" localSheetId="89">'435'!$D$20</definedName>
    <definedName name="OSRRefD22x_0" localSheetId="90">'444'!$D$25:$D$33,'444'!$D$35:$D$39,'444'!$D$41,'444'!$D$43,'444'!$D$45,'444'!$D$47,'444'!$D$49,'444'!$D$51,'444'!$D$53,'444'!$D$55,'444'!$D$57:$D$58,'444'!$D$60:$D$62,'444'!$D$64:$D$69,'444'!$D$71,'444'!$D$73</definedName>
    <definedName name="OSRRefD22x_0" localSheetId="91">'450'!$D$24:$D$32,'450'!$D$34:$D$37,'450'!$D$39,'450'!$D$41,'450'!$D$43,'450'!$D$45,'450'!$D$47,'450'!$D$49,'450'!$D$51,'450'!$D$53,'450'!$D$55:$D$56,'450'!$D$58:$D$61,'450'!$D$63</definedName>
    <definedName name="OSRRefD22x_0" localSheetId="73">'491'!$D$25:$D$32,'491'!$D$34:$D$38,'491'!$D$40,'491'!$D$42,'491'!$D$44,'491'!$D$46:$D$47,'491'!$D$49,'491'!$D$51,'491'!$D$53,'491'!$D$55,'491'!$D$57,'491'!$D$59,'491'!$D$61:$D$63,'491'!$D$65:$D$68,'491'!$D$70,'491'!$D$72:$D$78,'491'!$D$80,'491'!$D$82,'491'!$D$84</definedName>
    <definedName name="OSRRefD22x_0" localSheetId="86">'492'!$D$25:$D$33,'492'!$D$35:$D$40,'492'!$D$42,'492'!$D$44,'492'!$D$46,'492'!$D$48,'492'!$D$50,'492'!$D$52,'492'!$D$54,'492'!$D$56,'492'!$D$58,'492'!$D$60:$D$62,'492'!$D$64:$D$66,'492'!$D$68:$D$73,'492'!$D$75,'492'!$D$77,'492'!$D$79</definedName>
    <definedName name="OSRRefD22x_0" localSheetId="93">'501'!$D$21:$D$28,'501'!$D$30:$D$34,'501'!$D$36,'501'!$D$38,'501'!$D$40,'501'!$D$42,'501'!$D$44,'501'!$D$46,'501'!$D$48,'501'!$D$50</definedName>
    <definedName name="OSRRefD22x_0" localSheetId="39">'Div 2'!$D$20:$D$29,'Div 2'!$D$31:$D$36,'Div 2'!$D$38,'Div 2'!$D$40,'Div 2'!$D$42,'Div 2'!$D$44,'Div 2'!$D$46,'Div 2'!$D$48,'Div 2'!$D$50:$D$51,'Div 2'!$D$53,'Div 2'!$D$55,'Div 2'!$D$57:$D$59,'Div 2'!$D$61:$D$63,'Div 2'!$D$65,'Div 2'!$D$67,'Div 2'!$D$69:$D$73,'Div 2'!$D$75:$D$76,'Div 2'!$D$78,'Div 2'!$D$80</definedName>
    <definedName name="OSRRefD22x_0" localSheetId="47">'Div 3'!$D$115:$D$124,'Div 3'!$D$126:$D$132,'Div 3'!$D$134,'Div 3'!$D$136,'Div 3'!$D$138,'Div 3'!$D$140:$D$141,'Div 3'!$D$143:$D$144,'Div 3'!$D$146,'Div 3'!$D$148,'Div 3'!$D$150:$D$151,'Div 3'!$D$153,'Div 3'!$D$155,'Div 3'!$D$157,'Div 3'!$D$159:$D$160,'Div 3'!$D$162,'Div 3'!$D$164:$D$167,'Div 3'!$D$169:$D$171,'Div 3'!$D$173:$D$177,'Div 3'!$D$179:$D$180,'Div 3'!$D$182:$D$187,'Div 3'!$D$189:$D$190,'Div 3'!$D$192,'Div 3'!$D$194:$D$196,'Div 3'!$D$198</definedName>
    <definedName name="OSRRefD22x_0" localSheetId="71">'Div 4'!$D$27:$D$35,'Div 4'!$D$37:$D$42,'Div 4'!$D$44,'Div 4'!$D$46,'Div 4'!$D$48,'Div 4'!$D$50:$D$51,'Div 4'!$D$53,'Div 4'!$D$55,'Div 4'!$D$57,'Div 4'!$D$59,'Div 4'!$D$61,'Div 4'!$D$63,'Div 4'!$D$65,'Div 4'!$D$67,'Div 4'!$D$69:$D$71,'Div 4'!$D$73:$D$76,'Div 4'!$D$78,'Div 4'!$D$80:$D$87,'Div 4'!$D$89,'Div 4'!$D$91,'Div 4'!$D$93:$D$94,'Div 4'!$D$96</definedName>
    <definedName name="OSRRefD22x_0" localSheetId="92">'Div 5'!$D$21:$D$28,'Div 5'!$D$30:$D$34,'Div 5'!$D$36,'Div 5'!$D$38,'Div 5'!$D$40,'Div 5'!$D$42,'Div 5'!$D$44,'Div 5'!$D$46,'Div 5'!$D$48,'Div 5'!$D$50</definedName>
    <definedName name="OSRRefD22x_0" localSheetId="61">'Div 6'!$D$50:$D$58,'Div 6'!$D$60:$D$63,'Div 6'!$D$65,'Div 6'!$D$67,'Div 6'!$D$69,'Div 6'!$D$71:$D$72,'Div 6'!$D$74,'Div 6'!$D$76,'Div 6'!$D$78:$D$80,'Div 6'!$D$82</definedName>
    <definedName name="OSRRefD22x_0" localSheetId="2">Summary!$D$141:$D$150,Summary!$D$152:$D$158,Summary!$D$160,Summary!$D$162,Summary!$D$164,Summary!$D$166:$D$167,Summary!$D$169:$D$170,Summary!$D$172,Summary!$D$174,Summary!$D$176,Summary!$D$178:$D$179,Summary!$D$181,Summary!$D$183,Summary!$D$185,Summary!$D$187:$D$188,Summary!$D$190,Summary!$D$192,Summary!$D$194:$D$197,Summary!$D$199:$D$201,Summary!$D$203:$D$207,Summary!$D$209:$D$210,Summary!$D$212:$D$220,Summary!$D$222:$D$223,Summary!$D$225,Summary!$D$227:$D$229,Summary!$D$231</definedName>
    <definedName name="OSRRefD25x_0" localSheetId="48">'300'!$D$194:$D$197</definedName>
    <definedName name="OSRRefD25x_0" localSheetId="49">'300 &amp; 317'!$D$216:$D$221</definedName>
    <definedName name="OSRRefD25x_0" localSheetId="50">'301'!$D$87</definedName>
    <definedName name="OSRRefD25x_0" localSheetId="53">'308'!$D$100:$D$102</definedName>
    <definedName name="OSRRefD25x_0" localSheetId="72">'310 &amp; 491'!$D$97:$D$99</definedName>
    <definedName name="OSRRefD25x_0" localSheetId="54">'311'!$D$100:$D$102</definedName>
    <definedName name="OSRRefD25x_0" localSheetId="57">'315'!$D$121:$D$122</definedName>
    <definedName name="OSRRefD25x_0" localSheetId="60">'316'!$D$69</definedName>
    <definedName name="OSRRefD25x_0" localSheetId="62">'317'!$D$85:$D$87</definedName>
    <definedName name="OSRRefD25x_0" localSheetId="63">'320'!$D$30</definedName>
    <definedName name="OSRRefD25x_0" localSheetId="56">'331'!$D$137:$D$138</definedName>
    <definedName name="OSRRefD25x_0" localSheetId="59">'332'!$D$71:$D$72</definedName>
    <definedName name="OSRRefD25x_0" localSheetId="76">'411'!$D$63:$D$64</definedName>
    <definedName name="OSRRefD25x_0" localSheetId="80">'415'!$D$77</definedName>
    <definedName name="OSRRefD25x_0" localSheetId="81">'418'!$D$58</definedName>
    <definedName name="OSRRefD25x_0" localSheetId="85">'455'!$D$21:$D$22</definedName>
    <definedName name="OSRRefD25x_0" localSheetId="73">'491'!$D$87:$D$89</definedName>
    <definedName name="OSRRefD25x_0" localSheetId="93">'501'!$D$53</definedName>
    <definedName name="OSRRefD25x_0" localSheetId="47">'Div 3'!$D$201:$D$204</definedName>
    <definedName name="OSRRefD25x_0" localSheetId="71">'Div 4'!$D$99:$D$101</definedName>
    <definedName name="OSRRefD25x_0" localSheetId="92">'Div 5'!$D$53</definedName>
    <definedName name="OSRRefD25x_0" localSheetId="61">'Div 6'!$D$85:$D$87</definedName>
    <definedName name="OSRRefD25x_0" localSheetId="2">Summary!$D$234:$D$241</definedName>
    <definedName name="OSRRefH13x_0" localSheetId="48">'300'!$H$13:$H$71</definedName>
    <definedName name="OSRRefH13x_0" localSheetId="49">'300 &amp; 317'!$H$13:$H$86</definedName>
    <definedName name="OSRRefH13x_0" localSheetId="52">'307'!$H$13:$H$21</definedName>
    <definedName name="OSRRefH13x_0" localSheetId="53">'308'!$H$13:$H$33</definedName>
    <definedName name="OSRRefH13x_0" localSheetId="64">'310'!$H$13:$H$20</definedName>
    <definedName name="OSRRefH13x_0" localSheetId="72">'310 &amp; 491'!$H$13:$H$23</definedName>
    <definedName name="OSRRefH13x_0" localSheetId="54">'311'!$H$13:$H$33</definedName>
    <definedName name="OSRRefH13x_0" localSheetId="66">'313'!$H$13:$H$16</definedName>
    <definedName name="OSRRefH13x_0" localSheetId="57">'315'!$H$13:$H$51</definedName>
    <definedName name="OSRRefH13x_0" localSheetId="60">'316'!$H$13:$H$23</definedName>
    <definedName name="OSRRefH13x_0" localSheetId="62">'317'!$H$13:$H$31</definedName>
    <definedName name="OSRRefH13x_0" localSheetId="67">'321'!$H$13:$H$14</definedName>
    <definedName name="OSRRefH13x_0" localSheetId="55">'324'!$H$13:$H$16</definedName>
    <definedName name="OSRRefH13x_0" localSheetId="69">'325'!$H$13:$H$14</definedName>
    <definedName name="OSRRefH13x_0" localSheetId="58">'326'!$H$13:$H$31</definedName>
    <definedName name="OSRRefH13x_0" localSheetId="70">'327'!$H$13</definedName>
    <definedName name="OSRRefH13x_0" localSheetId="51">'330'!$H$13:$H$25</definedName>
    <definedName name="OSRRefH13x_0" localSheetId="56">'331'!$H$13:$H$51</definedName>
    <definedName name="OSRRefH13x_0" localSheetId="59">'332'!$H$13:$H$23</definedName>
    <definedName name="OSRRefH13x_0" localSheetId="74">'405'!$H$13:$H$14</definedName>
    <definedName name="OSRRefH13x_0" localSheetId="79">'414'!$H$13</definedName>
    <definedName name="OSRRefH13x_0" localSheetId="80">'415'!$H$13:$H$14</definedName>
    <definedName name="OSRRefH13x_0" localSheetId="88">'433'!$H$13:$H$15</definedName>
    <definedName name="OSRRefH13x_0" localSheetId="90">'444'!$H$13:$H$15</definedName>
    <definedName name="OSRRefH13x_0" localSheetId="91">'450'!$H$13:$H$14</definedName>
    <definedName name="OSRRefH13x_0" localSheetId="73">'491'!$H$13:$H$15</definedName>
    <definedName name="OSRRefH13x_0" localSheetId="86">'492'!$H$13:$H$15</definedName>
    <definedName name="OSRRefH13x_0" localSheetId="93">'501'!$H$13</definedName>
    <definedName name="OSRRefH13x_0" localSheetId="47">'Div 3'!$H$13:$H$73</definedName>
    <definedName name="OSRRefH13x_0" localSheetId="71">'Div 4'!$H$13:$H$17</definedName>
    <definedName name="OSRRefH13x_0" localSheetId="92">'Div 5'!$H$13</definedName>
    <definedName name="OSRRefH13x_0" localSheetId="61">'Div 6'!$H$13:$H$31</definedName>
    <definedName name="OSRRefH13x_0" localSheetId="2">Summary!$H$13:$H$92</definedName>
    <definedName name="OSRRefH16x_0" localSheetId="48">'300'!$H$74:$H$105</definedName>
    <definedName name="OSRRefH16x_0" localSheetId="49">'300 &amp; 317'!$H$89:$H$127</definedName>
    <definedName name="OSRRefH16x_0" localSheetId="52">'307'!$H$24:$H$33</definedName>
    <definedName name="OSRRefH16x_0" localSheetId="53">'308'!$H$36:$H$48</definedName>
    <definedName name="OSRRefH16x_0" localSheetId="64">'310'!$H$23:$H$24</definedName>
    <definedName name="OSRRefH16x_0" localSheetId="72">'310 &amp; 491'!$H$26:$H$27</definedName>
    <definedName name="OSRRefH16x_0" localSheetId="54">'311'!$H$36:$H$48</definedName>
    <definedName name="OSRRefH16x_0" localSheetId="66">'313'!$H$19</definedName>
    <definedName name="OSRRefH16x_0" localSheetId="57">'315'!$H$54:$H$72</definedName>
    <definedName name="OSRRefH16x_0" localSheetId="62">'317'!$H$34:$H$44</definedName>
    <definedName name="OSRRefH16x_0" localSheetId="63">'320'!$H$15:$H$16</definedName>
    <definedName name="OSRRefH16x_0" localSheetId="67">'321'!$H$17</definedName>
    <definedName name="OSRRefH16x_0" localSheetId="68">'322'!$H$15</definedName>
    <definedName name="OSRRefH16x_0" localSheetId="55">'324'!$H$19:$H$21</definedName>
    <definedName name="OSRRefH16x_0" localSheetId="69">'325'!$H$17:$H$18</definedName>
    <definedName name="OSRRefH16x_0" localSheetId="58">'326'!$H$34:$H$35</definedName>
    <definedName name="OSRRefH16x_0" localSheetId="70">'327'!$H$16:$H$17</definedName>
    <definedName name="OSRRefH16x_0" localSheetId="51">'330'!$H$28:$H$37</definedName>
    <definedName name="OSRRefH16x_0" localSheetId="56">'331'!$H$54:$H$72</definedName>
    <definedName name="OSRRefH16x_0" localSheetId="59">'332'!$H$26:$H$27</definedName>
    <definedName name="OSRRefH16x_0" localSheetId="74">'405'!$H$17:$H$18</definedName>
    <definedName name="OSRRefH16x_0" localSheetId="80">'415'!$H$17:$H$18</definedName>
    <definedName name="OSRRefH16x_0" localSheetId="81">'418'!$H$15</definedName>
    <definedName name="OSRRefH16x_0" localSheetId="84">'425'!$H$15</definedName>
    <definedName name="OSRRefH16x_0" localSheetId="88">'433'!$H$18:$H$19</definedName>
    <definedName name="OSRRefH16x_0" localSheetId="90">'444'!$H$18:$H$19</definedName>
    <definedName name="OSRRefH16x_0" localSheetId="91">'450'!$H$17:$H$18</definedName>
    <definedName name="OSRRefH16x_0" localSheetId="73">'491'!$H$18:$H$19</definedName>
    <definedName name="OSRRefH16x_0" localSheetId="86">'492'!$H$18:$H$19</definedName>
    <definedName name="OSRRefH16x_0" localSheetId="47">'Div 3'!$H$76:$H$109</definedName>
    <definedName name="OSRRefH16x_0" localSheetId="71">'Div 4'!$H$20:$H$21</definedName>
    <definedName name="OSRRefH16x_0" localSheetId="61">'Div 6'!$H$34:$H$44</definedName>
    <definedName name="OSRRefH16x_0" localSheetId="2">Summary!$H$95:$H$135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'300'!$H$111:$H$120</definedName>
    <definedName name="OSRRefH22_0x_0" localSheetId="49">'300 &amp; 317'!$H$133:$H$142</definedName>
    <definedName name="OSRRefH22_0x_0" localSheetId="50">'301'!$H$20:$H$29</definedName>
    <definedName name="OSRRefH22_0x_0" localSheetId="52">'307'!$H$39:$H$41</definedName>
    <definedName name="OSRRefH22_0x_0" localSheetId="53">'308'!$H$54:$H$62</definedName>
    <definedName name="OSRRefH22_0x_0" localSheetId="65">'309'!$H$20</definedName>
    <definedName name="OSRRefH22_0x_0" localSheetId="64">'310'!$H$30:$H$37</definedName>
    <definedName name="OSRRefH22_0x_0" localSheetId="72">'310 &amp; 491'!$H$33:$H$40</definedName>
    <definedName name="OSRRefH22_0x_0" localSheetId="54">'311'!$H$54:$H$62</definedName>
    <definedName name="OSRRefH22_0x_0" localSheetId="66">'313'!$H$25:$H$32</definedName>
    <definedName name="OSRRefH22_0x_0" localSheetId="57">'315'!$H$78:$H$85</definedName>
    <definedName name="OSRRefH22_0x_0" localSheetId="60">'316'!$H$31:$H$38</definedName>
    <definedName name="OSRRefH22_0x_0" localSheetId="62">'317'!$H$50:$H$58</definedName>
    <definedName name="OSRRefH22_0x_0" localSheetId="63">'320'!$H$22:$H$23</definedName>
    <definedName name="OSRRefH22_0x_0" localSheetId="67">'321'!$H$23:$H$30</definedName>
    <definedName name="OSRRefH22_0x_0" localSheetId="68">'322'!$H$21:$H$25</definedName>
    <definedName name="OSRRefH22_0x_0" localSheetId="69">'325'!$H$24:$H$30</definedName>
    <definedName name="OSRRefH22_0x_0" localSheetId="58">'326'!$H$41:$H$48</definedName>
    <definedName name="OSRRefH22_0x_0" localSheetId="51">'330'!$H$43:$H$46</definedName>
    <definedName name="OSRRefH22_0x_0" localSheetId="56">'331'!$H$78:$H$85</definedName>
    <definedName name="OSRRefH22_0x_0" localSheetId="59">'332'!$H$33:$H$40</definedName>
    <definedName name="OSRRefH22_0x_0" localSheetId="74">'405'!$H$24:$H$31</definedName>
    <definedName name="OSRRefH22_0x_0" localSheetId="75">'406'!$H$20</definedName>
    <definedName name="OSRRefH22_0x_0" localSheetId="76">'411'!$H$20:$H$27</definedName>
    <definedName name="OSRRefH22_0x_0" localSheetId="77">'412'!$H$20</definedName>
    <definedName name="OSRRefH22_0x_0" localSheetId="78">'413'!$H$20:$H$24</definedName>
    <definedName name="OSRRefH22_0x_0" localSheetId="79">'414'!$H$21</definedName>
    <definedName name="OSRRefH22_0x_0" localSheetId="80">'415'!$H$24:$H$31</definedName>
    <definedName name="OSRRefH22_0x_0" localSheetId="81">'418'!$H$21:$H$28</definedName>
    <definedName name="OSRRefH22_0x_0" localSheetId="82">'423'!$H$20:$H$21</definedName>
    <definedName name="OSRRefH22_0x_0" localSheetId="83">'424'!$H$20</definedName>
    <definedName name="OSRRefH22_0x_0" localSheetId="84">'425'!$H$21:$H$25</definedName>
    <definedName name="OSRRefH22_0x_0" localSheetId="87">'430'!$H$20:$H$27</definedName>
    <definedName name="OSRRefH22_0x_0" localSheetId="88">'433'!$H$25:$H$33</definedName>
    <definedName name="OSRRefH22_0x_0" localSheetId="89">'435'!$H$20</definedName>
    <definedName name="OSRRefH22_0x_0" localSheetId="90">'444'!$H$25:$H$33</definedName>
    <definedName name="OSRRefH22_0x_0" localSheetId="91">'450'!$H$24:$H$32</definedName>
    <definedName name="OSRRefH22_0x_0" localSheetId="73">'491'!$H$25:$H$32</definedName>
    <definedName name="OSRRefH22_0x_0" localSheetId="86">'492'!$H$25:$H$33</definedName>
    <definedName name="OSRRefH22_0x_0" localSheetId="93">'501'!$H$21:$H$28</definedName>
    <definedName name="OSRRefH22_0x_0" localSheetId="39">'Div 2'!$H$20:$H$29</definedName>
    <definedName name="OSRRefH22_0x_0" localSheetId="47">'Div 3'!$H$115:$H$124</definedName>
    <definedName name="OSRRefH22_0x_0" localSheetId="71">'Div 4'!$H$27:$H$35</definedName>
    <definedName name="OSRRefH22_0x_0" localSheetId="92">'Div 5'!$H$21:$H$28</definedName>
    <definedName name="OSRRefH22_0x_0" localSheetId="61">'Div 6'!$H$50:$H$58</definedName>
    <definedName name="OSRRefH22_0x_0" localSheetId="2">Summary!$H$141:$H$150</definedName>
    <definedName name="OSRRefH22_10x_0" localSheetId="41">'201'!$H$49:$H$50</definedName>
    <definedName name="OSRRefH22_10x_0" localSheetId="42">'202'!$H$52</definedName>
    <definedName name="OSRRefH22_10x_0" localSheetId="43">'203'!$H$56</definedName>
    <definedName name="OSRRefH22_10x_0" localSheetId="48">'300'!$H$149</definedName>
    <definedName name="OSRRefH22_10x_0" localSheetId="49">'300 &amp; 317'!$H$171</definedName>
    <definedName name="OSRRefH22_10x_0" localSheetId="50">'301'!$H$56</definedName>
    <definedName name="OSRRefH22_10x_0" localSheetId="52">'307'!$H$65:$H$67</definedName>
    <definedName name="OSRRefH22_10x_0" localSheetId="53">'308'!$H$89</definedName>
    <definedName name="OSRRefH22_10x_0" localSheetId="64">'310'!$H$60:$H$61</definedName>
    <definedName name="OSRRefH22_10x_0" localSheetId="72">'310 &amp; 491'!$H$65</definedName>
    <definedName name="OSRRefH22_10x_0" localSheetId="54">'311'!$H$89</definedName>
    <definedName name="OSRRefH22_10x_0" localSheetId="57">'315'!$H$116</definedName>
    <definedName name="OSRRefH22_10x_0" localSheetId="60">'316'!$H$66</definedName>
    <definedName name="OSRRefH22_10x_0" localSheetId="67">'321'!$H$56</definedName>
    <definedName name="OSRRefH22_10x_0" localSheetId="69">'325'!$H$54:$H$56</definedName>
    <definedName name="OSRRefH22_10x_0" localSheetId="58">'326'!$H$72:$H$73</definedName>
    <definedName name="OSRRefH22_10x_0" localSheetId="51">'330'!$H$71:$H$73</definedName>
    <definedName name="OSRRefH22_10x_0" localSheetId="56">'331'!$H$112</definedName>
    <definedName name="OSRRefH22_10x_0" localSheetId="59">'332'!$H$68</definedName>
    <definedName name="OSRRefH22_10x_0" localSheetId="74">'405'!$H$58</definedName>
    <definedName name="OSRRefH22_10x_0" localSheetId="76">'411'!$H$54</definedName>
    <definedName name="OSRRefH22_10x_0" localSheetId="80">'415'!$H$55:$H$56</definedName>
    <definedName name="OSRRefH22_10x_0" localSheetId="81">'418'!$H$55</definedName>
    <definedName name="OSRRefH22_10x_0" localSheetId="88">'433'!$H$56</definedName>
    <definedName name="OSRRefH22_10x_0" localSheetId="90">'444'!$H$57:$H$58</definedName>
    <definedName name="OSRRefH22_10x_0" localSheetId="91">'450'!$H$55:$H$56</definedName>
    <definedName name="OSRRefH22_10x_0" localSheetId="73">'491'!$H$57</definedName>
    <definedName name="OSRRefH22_10x_0" localSheetId="86">'492'!$H$58</definedName>
    <definedName name="OSRRefH22_10x_0" localSheetId="39">'Div 2'!$H$55</definedName>
    <definedName name="OSRRefH22_10x_0" localSheetId="47">'Div 3'!$H$153</definedName>
    <definedName name="OSRRefH22_10x_0" localSheetId="71">'Div 4'!$H$61</definedName>
    <definedName name="OSRRefH22_10x_0" localSheetId="2">Summary!$H$178:$H$179</definedName>
    <definedName name="OSRRefH22_11x_0" localSheetId="41">'201'!$H$52</definedName>
    <definedName name="OSRRefH22_11x_0" localSheetId="42">'202'!$H$54</definedName>
    <definedName name="OSRRefH22_11x_0" localSheetId="48">'300'!$H$151</definedName>
    <definedName name="OSRRefH22_11x_0" localSheetId="49">'300 &amp; 317'!$H$173</definedName>
    <definedName name="OSRRefH22_11x_0" localSheetId="50">'301'!$H$58</definedName>
    <definedName name="OSRRefH22_11x_0" localSheetId="52">'307'!$H$69</definedName>
    <definedName name="OSRRefH22_11x_0" localSheetId="53">'308'!$H$91:$H$92</definedName>
    <definedName name="OSRRefH22_11x_0" localSheetId="64">'310'!$H$63:$H$65</definedName>
    <definedName name="OSRRefH22_11x_0" localSheetId="72">'310 &amp; 491'!$H$67</definedName>
    <definedName name="OSRRefH22_11x_0" localSheetId="54">'311'!$H$91:$H$92</definedName>
    <definedName name="OSRRefH22_11x_0" localSheetId="57">'315'!$H$118</definedName>
    <definedName name="OSRRefH22_11x_0" localSheetId="69">'325'!$H$58:$H$60</definedName>
    <definedName name="OSRRefH22_11x_0" localSheetId="58">'326'!$H$75</definedName>
    <definedName name="OSRRefH22_11x_0" localSheetId="51">'330'!$H$75</definedName>
    <definedName name="OSRRefH22_11x_0" localSheetId="56">'331'!$H$114:$H$115</definedName>
    <definedName name="OSRRefH22_11x_0" localSheetId="74">'405'!$H$60</definedName>
    <definedName name="OSRRefH22_11x_0" localSheetId="76">'411'!$H$56</definedName>
    <definedName name="OSRRefH22_11x_0" localSheetId="80">'415'!$H$58:$H$61</definedName>
    <definedName name="OSRRefH22_11x_0" localSheetId="88">'433'!$H$58:$H$60</definedName>
    <definedName name="OSRRefH22_11x_0" localSheetId="90">'444'!$H$60:$H$62</definedName>
    <definedName name="OSRRefH22_11x_0" localSheetId="91">'450'!$H$58:$H$61</definedName>
    <definedName name="OSRRefH22_11x_0" localSheetId="73">'491'!$H$59</definedName>
    <definedName name="OSRRefH22_11x_0" localSheetId="86">'492'!$H$60:$H$62</definedName>
    <definedName name="OSRRefH22_11x_0" localSheetId="39">'Div 2'!$H$57:$H$59</definedName>
    <definedName name="OSRRefH22_11x_0" localSheetId="47">'Div 3'!$H$155</definedName>
    <definedName name="OSRRefH22_11x_0" localSheetId="71">'Div 4'!$H$63</definedName>
    <definedName name="OSRRefH22_11x_0" localSheetId="2">Summary!$H$181</definedName>
    <definedName name="OSRRefH22_12x_0" localSheetId="48">'300'!$H$153:$H$154</definedName>
    <definedName name="OSRRefH22_12x_0" localSheetId="49">'300 &amp; 317'!$H$175:$H$176</definedName>
    <definedName name="OSRRefH22_12x_0" localSheetId="50">'301'!$H$60</definedName>
    <definedName name="OSRRefH22_12x_0" localSheetId="53">'308'!$H$94:$H$95</definedName>
    <definedName name="OSRRefH22_12x_0" localSheetId="64">'310'!$H$67:$H$70</definedName>
    <definedName name="OSRRefH22_12x_0" localSheetId="72">'310 &amp; 491'!$H$69</definedName>
    <definedName name="OSRRefH22_12x_0" localSheetId="54">'311'!$H$94:$H$95</definedName>
    <definedName name="OSRRefH22_12x_0" localSheetId="69">'325'!$H$62</definedName>
    <definedName name="OSRRefH22_12x_0" localSheetId="58">'326'!$H$77:$H$79</definedName>
    <definedName name="OSRRefH22_12x_0" localSheetId="56">'331'!$H$117:$H$118</definedName>
    <definedName name="OSRRefH22_12x_0" localSheetId="76">'411'!$H$58</definedName>
    <definedName name="OSRRefH22_12x_0" localSheetId="80">'415'!$H$63</definedName>
    <definedName name="OSRRefH22_12x_0" localSheetId="88">'433'!$H$62:$H$66</definedName>
    <definedName name="OSRRefH22_12x_0" localSheetId="90">'444'!$H$64:$H$69</definedName>
    <definedName name="OSRRefH22_12x_0" localSheetId="91">'450'!$H$63</definedName>
    <definedName name="OSRRefH22_12x_0" localSheetId="73">'491'!$H$61:$H$63</definedName>
    <definedName name="OSRRefH22_12x_0" localSheetId="86">'492'!$H$64:$H$66</definedName>
    <definedName name="OSRRefH22_12x_0" localSheetId="39">'Div 2'!$H$61:$H$63</definedName>
    <definedName name="OSRRefH22_12x_0" localSheetId="47">'Div 3'!$H$157</definedName>
    <definedName name="OSRRefH22_12x_0" localSheetId="71">'Div 4'!$H$65</definedName>
    <definedName name="OSRRefH22_12x_0" localSheetId="2">Summary!$H$183</definedName>
    <definedName name="OSRRefH22_13x_0" localSheetId="48">'300'!$H$156</definedName>
    <definedName name="OSRRefH22_13x_0" localSheetId="49">'300 &amp; 317'!$H$178</definedName>
    <definedName name="OSRRefH22_13x_0" localSheetId="50">'301'!$H$62:$H$65</definedName>
    <definedName name="OSRRefH22_13x_0" localSheetId="53">'308'!$H$97</definedName>
    <definedName name="OSRRefH22_13x_0" localSheetId="64">'310'!$H$72</definedName>
    <definedName name="OSRRefH22_13x_0" localSheetId="72">'310 &amp; 491'!$H$71:$H$73</definedName>
    <definedName name="OSRRefH22_13x_0" localSheetId="54">'311'!$H$97</definedName>
    <definedName name="OSRRefH22_13x_0" localSheetId="69">'325'!$H$64</definedName>
    <definedName name="OSRRefH22_13x_0" localSheetId="58">'326'!$H$81</definedName>
    <definedName name="OSRRefH22_13x_0" localSheetId="56">'331'!$H$120:$H$121</definedName>
    <definedName name="OSRRefH22_13x_0" localSheetId="76">'411'!$H$60</definedName>
    <definedName name="OSRRefH22_13x_0" localSheetId="80">'415'!$H$65:$H$70</definedName>
    <definedName name="OSRRefH22_13x_0" localSheetId="88">'433'!$H$68</definedName>
    <definedName name="OSRRefH22_13x_0" localSheetId="90">'444'!$H$71</definedName>
    <definedName name="OSRRefH22_13x_0" localSheetId="73">'491'!$H$65:$H$68</definedName>
    <definedName name="OSRRefH22_13x_0" localSheetId="86">'492'!$H$68:$H$73</definedName>
    <definedName name="OSRRefH22_13x_0" localSheetId="39">'Div 2'!$H$65</definedName>
    <definedName name="OSRRefH22_13x_0" localSheetId="47">'Div 3'!$H$159:$H$160</definedName>
    <definedName name="OSRRefH22_13x_0" localSheetId="71">'Div 4'!$H$67</definedName>
    <definedName name="OSRRefH22_13x_0" localSheetId="2">Summary!$H$185</definedName>
    <definedName name="OSRRefH22_14x_0" localSheetId="48">'300'!$H$158:$H$161</definedName>
    <definedName name="OSRRefH22_14x_0" localSheetId="49">'300 &amp; 317'!$H$180:$H$183</definedName>
    <definedName name="OSRRefH22_14x_0" localSheetId="50">'301'!$H$67:$H$69</definedName>
    <definedName name="OSRRefH22_14x_0" localSheetId="64">'310'!$H$74</definedName>
    <definedName name="OSRRefH22_14x_0" localSheetId="72">'310 &amp; 491'!$H$75:$H$78</definedName>
    <definedName name="OSRRefH22_14x_0" localSheetId="58">'326'!$H$83</definedName>
    <definedName name="OSRRefH22_14x_0" localSheetId="56">'331'!$H$123</definedName>
    <definedName name="OSRRefH22_14x_0" localSheetId="80">'415'!$H$72</definedName>
    <definedName name="OSRRefH22_14x_0" localSheetId="90">'444'!$H$73</definedName>
    <definedName name="OSRRefH22_14x_0" localSheetId="73">'491'!$H$70</definedName>
    <definedName name="OSRRefH22_14x_0" localSheetId="86">'492'!$H$75</definedName>
    <definedName name="OSRRefH22_14x_0" localSheetId="39">'Div 2'!$H$67</definedName>
    <definedName name="OSRRefH22_14x_0" localSheetId="47">'Div 3'!$H$162</definedName>
    <definedName name="OSRRefH22_14x_0" localSheetId="71">'Div 4'!$H$69:$H$71</definedName>
    <definedName name="OSRRefH22_14x_0" localSheetId="2">Summary!$H$187:$H$188</definedName>
    <definedName name="OSRRefH22_15x_0" localSheetId="48">'300'!$H$163:$H$165</definedName>
    <definedName name="OSRRefH22_15x_0" localSheetId="49">'300 &amp; 317'!$H$185:$H$187</definedName>
    <definedName name="OSRRefH22_15x_0" localSheetId="50">'301'!$H$71:$H$75</definedName>
    <definedName name="OSRRefH22_15x_0" localSheetId="72">'310 &amp; 491'!$H$80</definedName>
    <definedName name="OSRRefH22_15x_0" localSheetId="58">'326'!$H$85</definedName>
    <definedName name="OSRRefH22_15x_0" localSheetId="56">'331'!$H$125:$H$128</definedName>
    <definedName name="OSRRefH22_15x_0" localSheetId="80">'415'!$H$74</definedName>
    <definedName name="OSRRefH22_15x_0" localSheetId="73">'491'!$H$72:$H$78</definedName>
    <definedName name="OSRRefH22_15x_0" localSheetId="86">'492'!$H$77</definedName>
    <definedName name="OSRRefH22_15x_0" localSheetId="39">'Div 2'!$H$69:$H$73</definedName>
    <definedName name="OSRRefH22_15x_0" localSheetId="47">'Div 3'!$H$164:$H$167</definedName>
    <definedName name="OSRRefH22_15x_0" localSheetId="71">'Div 4'!$H$73:$H$76</definedName>
    <definedName name="OSRRefH22_15x_0" localSheetId="2">Summary!$H$190</definedName>
    <definedName name="OSRRefH22_16x_0" localSheetId="48">'300'!$H$167:$H$170</definedName>
    <definedName name="OSRRefH22_16x_0" localSheetId="49">'300 &amp; 317'!$H$189:$H$192</definedName>
    <definedName name="OSRRefH22_16x_0" localSheetId="50">'301'!$H$77</definedName>
    <definedName name="OSRRefH22_16x_0" localSheetId="72">'310 &amp; 491'!$H$82:$H$88</definedName>
    <definedName name="OSRRefH22_16x_0" localSheetId="56">'331'!$H$130</definedName>
    <definedName name="OSRRefH22_16x_0" localSheetId="73">'491'!$H$80</definedName>
    <definedName name="OSRRefH22_16x_0" localSheetId="86">'492'!$H$79</definedName>
    <definedName name="OSRRefH22_16x_0" localSheetId="39">'Div 2'!$H$75:$H$76</definedName>
    <definedName name="OSRRefH22_16x_0" localSheetId="47">'Div 3'!$H$169:$H$171</definedName>
    <definedName name="OSRRefH22_16x_0" localSheetId="71">'Div 4'!$H$78</definedName>
    <definedName name="OSRRefH22_16x_0" localSheetId="2">Summary!$H$192</definedName>
    <definedName name="OSRRefH22_17x_0" localSheetId="48">'300'!$H$172:$H$173</definedName>
    <definedName name="OSRRefH22_17x_0" localSheetId="49">'300 &amp; 317'!$H$194:$H$195</definedName>
    <definedName name="OSRRefH22_17x_0" localSheetId="50">'301'!$H$79</definedName>
    <definedName name="OSRRefH22_17x_0" localSheetId="72">'310 &amp; 491'!$H$90</definedName>
    <definedName name="OSRRefH22_17x_0" localSheetId="56">'331'!$H$132</definedName>
    <definedName name="OSRRefH22_17x_0" localSheetId="73">'491'!$H$82</definedName>
    <definedName name="OSRRefH22_17x_0" localSheetId="39">'Div 2'!$H$78</definedName>
    <definedName name="OSRRefH22_17x_0" localSheetId="47">'Div 3'!$H$173:$H$177</definedName>
    <definedName name="OSRRefH22_17x_0" localSheetId="71">'Div 4'!$H$80:$H$87</definedName>
    <definedName name="OSRRefH22_17x_0" localSheetId="2">Summary!$H$194:$H$197</definedName>
    <definedName name="OSRRefH22_18x_0" localSheetId="48">'300'!$H$175:$H$180</definedName>
    <definedName name="OSRRefH22_18x_0" localSheetId="49">'300 &amp; 317'!$H$197:$H$202</definedName>
    <definedName name="OSRRefH22_18x_0" localSheetId="50">'301'!$H$81:$H$82</definedName>
    <definedName name="OSRRefH22_18x_0" localSheetId="72">'310 &amp; 491'!$H$92</definedName>
    <definedName name="OSRRefH22_18x_0" localSheetId="56">'331'!$H$134</definedName>
    <definedName name="OSRRefH22_18x_0" localSheetId="73">'491'!$H$84</definedName>
    <definedName name="OSRRefH22_18x_0" localSheetId="39">'Div 2'!$H$80</definedName>
    <definedName name="OSRRefH22_18x_0" localSheetId="47">'Div 3'!$H$179:$H$180</definedName>
    <definedName name="OSRRefH22_18x_0" localSheetId="71">'Div 4'!$H$89</definedName>
    <definedName name="OSRRefH22_18x_0" localSheetId="2">Summary!$H$199:$H$201</definedName>
    <definedName name="OSRRefH22_19x_0" localSheetId="48">'300'!$H$182:$H$183</definedName>
    <definedName name="OSRRefH22_19x_0" localSheetId="49">'300 &amp; 317'!$H$204:$H$205</definedName>
    <definedName name="OSRRefH22_19x_0" localSheetId="50">'301'!$H$84</definedName>
    <definedName name="OSRRefH22_19x_0" localSheetId="72">'310 &amp; 491'!$H$94</definedName>
    <definedName name="OSRRefH22_19x_0" localSheetId="47">'Div 3'!$H$182:$H$187</definedName>
    <definedName name="OSRRefH22_19x_0" localSheetId="71">'Div 4'!$H$91</definedName>
    <definedName name="OSRRefH22_19x_0" localSheetId="2">Summary!$H$203:$H$207</definedName>
    <definedName name="OSRRefH22_1x_0" localSheetId="40">'200'!$H$22</definedName>
    <definedName name="OSRRefH22_1x_0" localSheetId="41">'201'!$H$29:$H$30</definedName>
    <definedName name="OSRRefH22_1x_0" localSheetId="42">'202'!$H$29:$H$30</definedName>
    <definedName name="OSRRefH22_1x_0" localSheetId="43">'203'!$H$30:$H$33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'300'!$H$122:$H$128</definedName>
    <definedName name="OSRRefH22_1x_0" localSheetId="49">'300 &amp; 317'!$H$144:$H$150</definedName>
    <definedName name="OSRRefH22_1x_0" localSheetId="50">'301'!$H$31:$H$37</definedName>
    <definedName name="OSRRefH22_1x_0" localSheetId="52">'307'!$H$43:$H$44</definedName>
    <definedName name="OSRRefH22_1x_0" localSheetId="53">'308'!$H$64:$H$70</definedName>
    <definedName name="OSRRefH22_1x_0" localSheetId="65">'309'!$H$22:$H$23</definedName>
    <definedName name="OSRRefH22_1x_0" localSheetId="64">'310'!$H$39:$H$41</definedName>
    <definedName name="OSRRefH22_1x_0" localSheetId="72">'310 &amp; 491'!$H$42:$H$46</definedName>
    <definedName name="OSRRefH22_1x_0" localSheetId="54">'311'!$H$64:$H$70</definedName>
    <definedName name="OSRRefH22_1x_0" localSheetId="66">'313'!$H$34</definedName>
    <definedName name="OSRRefH22_1x_0" localSheetId="57">'315'!$H$87:$H$91</definedName>
    <definedName name="OSRRefH22_1x_0" localSheetId="60">'316'!$H$40:$H$42</definedName>
    <definedName name="OSRRefH22_1x_0" localSheetId="62">'317'!$H$60:$H$63</definedName>
    <definedName name="OSRRefH22_1x_0" localSheetId="63">'320'!$H$25</definedName>
    <definedName name="OSRRefH22_1x_0" localSheetId="67">'321'!$H$32:$H$34</definedName>
    <definedName name="OSRRefH22_1x_0" localSheetId="68">'322'!$H$27</definedName>
    <definedName name="OSRRefH22_1x_0" localSheetId="69">'325'!$H$32:$H$34</definedName>
    <definedName name="OSRRefH22_1x_0" localSheetId="58">'326'!$H$50:$H$54</definedName>
    <definedName name="OSRRefH22_1x_0" localSheetId="51">'330'!$H$48:$H$49</definedName>
    <definedName name="OSRRefH22_1x_0" localSheetId="56">'331'!$H$87:$H$91</definedName>
    <definedName name="OSRRefH22_1x_0" localSheetId="59">'332'!$H$42:$H$44</definedName>
    <definedName name="OSRRefH22_1x_0" localSheetId="74">'405'!$H$33:$H$36</definedName>
    <definedName name="OSRRefH22_1x_0" localSheetId="75">'406'!$H$22</definedName>
    <definedName name="OSRRefH22_1x_0" localSheetId="76">'411'!$H$29:$H$32</definedName>
    <definedName name="OSRRefH22_1x_0" localSheetId="77">'412'!$H$22</definedName>
    <definedName name="OSRRefH22_1x_0" localSheetId="78">'413'!$H$26</definedName>
    <definedName name="OSRRefH22_1x_0" localSheetId="79">'414'!$H$23</definedName>
    <definedName name="OSRRefH22_1x_0" localSheetId="80">'415'!$H$33:$H$36</definedName>
    <definedName name="OSRRefH22_1x_0" localSheetId="81">'418'!$H$30:$H$33</definedName>
    <definedName name="OSRRefH22_1x_0" localSheetId="82">'423'!$H$23</definedName>
    <definedName name="OSRRefH22_1x_0" localSheetId="83">'424'!$H$22</definedName>
    <definedName name="OSRRefH22_1x_0" localSheetId="84">'425'!$H$27</definedName>
    <definedName name="OSRRefH22_1x_0" localSheetId="87">'430'!$H$29</definedName>
    <definedName name="OSRRefH22_1x_0" localSheetId="88">'433'!$H$35:$H$38</definedName>
    <definedName name="OSRRefH22_1x_0" localSheetId="90">'444'!$H$35:$H$39</definedName>
    <definedName name="OSRRefH22_1x_0" localSheetId="91">'450'!$H$34:$H$37</definedName>
    <definedName name="OSRRefH22_1x_0" localSheetId="73">'491'!$H$34:$H$38</definedName>
    <definedName name="OSRRefH22_1x_0" localSheetId="86">'492'!$H$35:$H$40</definedName>
    <definedName name="OSRRefH22_1x_0" localSheetId="93">'501'!$H$30:$H$34</definedName>
    <definedName name="OSRRefH22_1x_0" localSheetId="39">'Div 2'!$H$31:$H$36</definedName>
    <definedName name="OSRRefH22_1x_0" localSheetId="47">'Div 3'!$H$126:$H$132</definedName>
    <definedName name="OSRRefH22_1x_0" localSheetId="71">'Div 4'!$H$37:$H$42</definedName>
    <definedName name="OSRRefH22_1x_0" localSheetId="92">'Div 5'!$H$30:$H$34</definedName>
    <definedName name="OSRRefH22_1x_0" localSheetId="61">'Div 6'!$H$60:$H$63</definedName>
    <definedName name="OSRRefH22_1x_0" localSheetId="2">Summary!$H$152:$H$158</definedName>
    <definedName name="OSRRefH22_20x_0" localSheetId="48">'300'!$H$185</definedName>
    <definedName name="OSRRefH22_20x_0" localSheetId="49">'300 &amp; 317'!$H$207</definedName>
    <definedName name="OSRRefH22_20x_0" localSheetId="47">'Div 3'!$H$189:$H$190</definedName>
    <definedName name="OSRRefH22_20x_0" localSheetId="71">'Div 4'!$H$93:$H$94</definedName>
    <definedName name="OSRRefH22_20x_0" localSheetId="2">Summary!$H$209:$H$210</definedName>
    <definedName name="OSRRefH22_21x_0" localSheetId="48">'300'!$H$187:$H$189</definedName>
    <definedName name="OSRRefH22_21x_0" localSheetId="49">'300 &amp; 317'!$H$209:$H$211</definedName>
    <definedName name="OSRRefH22_21x_0" localSheetId="47">'Div 3'!$H$192</definedName>
    <definedName name="OSRRefH22_21x_0" localSheetId="71">'Div 4'!$H$96</definedName>
    <definedName name="OSRRefH22_21x_0" localSheetId="2">Summary!$H$212:$H$220</definedName>
    <definedName name="OSRRefH22_22x_0" localSheetId="48">'300'!$H$191</definedName>
    <definedName name="OSRRefH22_22x_0" localSheetId="49">'300 &amp; 317'!$H$213</definedName>
    <definedName name="OSRRefH22_22x_0" localSheetId="47">'Div 3'!$H$194:$H$196</definedName>
    <definedName name="OSRRefH22_22x_0" localSheetId="2">Summary!$H$222:$H$223</definedName>
    <definedName name="OSRRefH22_23x_0" localSheetId="47">'Div 3'!$H$198</definedName>
    <definedName name="OSRRefH22_23x_0" localSheetId="2">Summary!$H$225</definedName>
    <definedName name="OSRRefH22_24x_0" localSheetId="2">Summary!$H$227:$H$229</definedName>
    <definedName name="OSRRefH22_25x_0" localSheetId="2">Summary!$H$231</definedName>
    <definedName name="OSRRefH22_2x_0" localSheetId="40">'200'!$H$24</definedName>
    <definedName name="OSRRefH22_2x_0" localSheetId="41">'201'!$H$32</definedName>
    <definedName name="OSRRefH22_2x_0" localSheetId="42">'202'!$H$32</definedName>
    <definedName name="OSRRefH22_2x_0" localSheetId="43">'203'!$H$35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'300'!$H$130</definedName>
    <definedName name="OSRRefH22_2x_0" localSheetId="49">'300 &amp; 317'!$H$152</definedName>
    <definedName name="OSRRefH22_2x_0" localSheetId="50">'301'!$H$39</definedName>
    <definedName name="OSRRefH22_2x_0" localSheetId="52">'307'!$H$46</definedName>
    <definedName name="OSRRefH22_2x_0" localSheetId="53">'308'!$H$72</definedName>
    <definedName name="OSRRefH22_2x_0" localSheetId="65">'309'!$H$25:$H$26</definedName>
    <definedName name="OSRRefH22_2x_0" localSheetId="64">'310'!$H$43</definedName>
    <definedName name="OSRRefH22_2x_0" localSheetId="72">'310 &amp; 491'!$H$48</definedName>
    <definedName name="OSRRefH22_2x_0" localSheetId="54">'311'!$H$72</definedName>
    <definedName name="OSRRefH22_2x_0" localSheetId="66">'313'!$H$36</definedName>
    <definedName name="OSRRefH22_2x_0" localSheetId="57">'315'!$H$93</definedName>
    <definedName name="OSRRefH22_2x_0" localSheetId="60">'316'!$H$44</definedName>
    <definedName name="OSRRefH22_2x_0" localSheetId="62">'317'!$H$65</definedName>
    <definedName name="OSRRefH22_2x_0" localSheetId="63">'320'!$H$27</definedName>
    <definedName name="OSRRefH22_2x_0" localSheetId="67">'321'!$H$36</definedName>
    <definedName name="OSRRefH22_2x_0" localSheetId="68">'322'!$H$29</definedName>
    <definedName name="OSRRefH22_2x_0" localSheetId="69">'325'!$H$36</definedName>
    <definedName name="OSRRefH22_2x_0" localSheetId="58">'326'!$H$56</definedName>
    <definedName name="OSRRefH22_2x_0" localSheetId="51">'330'!$H$51</definedName>
    <definedName name="OSRRefH22_2x_0" localSheetId="56">'331'!$H$93</definedName>
    <definedName name="OSRRefH22_2x_0" localSheetId="59">'332'!$H$46</definedName>
    <definedName name="OSRRefH22_2x_0" localSheetId="74">'405'!$H$38</definedName>
    <definedName name="OSRRefH22_2x_0" localSheetId="75">'406'!$H$24</definedName>
    <definedName name="OSRRefH22_2x_0" localSheetId="76">'411'!$H$34</definedName>
    <definedName name="OSRRefH22_2x_0" localSheetId="77">'412'!$H$24</definedName>
    <definedName name="OSRRefH22_2x_0" localSheetId="78">'413'!$H$28</definedName>
    <definedName name="OSRRefH22_2x_0" localSheetId="79">'414'!$H$25</definedName>
    <definedName name="OSRRefH22_2x_0" localSheetId="80">'415'!$H$38</definedName>
    <definedName name="OSRRefH22_2x_0" localSheetId="81">'418'!$H$35</definedName>
    <definedName name="OSRRefH22_2x_0" localSheetId="82">'423'!$H$25</definedName>
    <definedName name="OSRRefH22_2x_0" localSheetId="83">'424'!$H$24</definedName>
    <definedName name="OSRRefH22_2x_0" localSheetId="84">'425'!$H$29</definedName>
    <definedName name="OSRRefH22_2x_0" localSheetId="87">'430'!$H$31</definedName>
    <definedName name="OSRRefH22_2x_0" localSheetId="88">'433'!$H$40</definedName>
    <definedName name="OSRRefH22_2x_0" localSheetId="90">'444'!$H$41</definedName>
    <definedName name="OSRRefH22_2x_0" localSheetId="91">'450'!$H$39</definedName>
    <definedName name="OSRRefH22_2x_0" localSheetId="73">'491'!$H$40</definedName>
    <definedName name="OSRRefH22_2x_0" localSheetId="86">'492'!$H$42</definedName>
    <definedName name="OSRRefH22_2x_0" localSheetId="93">'501'!$H$36</definedName>
    <definedName name="OSRRefH22_2x_0" localSheetId="39">'Div 2'!$H$38</definedName>
    <definedName name="OSRRefH22_2x_0" localSheetId="47">'Div 3'!$H$134</definedName>
    <definedName name="OSRRefH22_2x_0" localSheetId="71">'Div 4'!$H$44</definedName>
    <definedName name="OSRRefH22_2x_0" localSheetId="92">'Div 5'!$H$36</definedName>
    <definedName name="OSRRefH22_2x_0" localSheetId="61">'Div 6'!$H$65</definedName>
    <definedName name="OSRRefH22_2x_0" localSheetId="2">Summary!$H$160</definedName>
    <definedName name="OSRRefH22_3x_0" localSheetId="40">'200'!$H$26</definedName>
    <definedName name="OSRRefH22_3x_0" localSheetId="41">'201'!$H$34</definedName>
    <definedName name="OSRRefH22_3x_0" localSheetId="42">'202'!$H$34</definedName>
    <definedName name="OSRRefH22_3x_0" localSheetId="43">'203'!$H$37</definedName>
    <definedName name="OSRRefH22_3x_0" localSheetId="44">'204'!$H$36</definedName>
    <definedName name="OSRRefH22_3x_0" localSheetId="45">'205'!$H$33:$H$34</definedName>
    <definedName name="OSRRefH22_3x_0" localSheetId="46">'206'!$H$34</definedName>
    <definedName name="OSRRefH22_3x_0" localSheetId="48">'300'!$H$132</definedName>
    <definedName name="OSRRefH22_3x_0" localSheetId="49">'300 &amp; 317'!$H$154</definedName>
    <definedName name="OSRRefH22_3x_0" localSheetId="50">'301'!$H$41</definedName>
    <definedName name="OSRRefH22_3x_0" localSheetId="52">'307'!$H$48</definedName>
    <definedName name="OSRRefH22_3x_0" localSheetId="53">'308'!$H$74</definedName>
    <definedName name="OSRRefH22_3x_0" localSheetId="65">'309'!$H$28</definedName>
    <definedName name="OSRRefH22_3x_0" localSheetId="64">'310'!$H$45</definedName>
    <definedName name="OSRRefH22_3x_0" localSheetId="72">'310 &amp; 491'!$H$50</definedName>
    <definedName name="OSRRefH22_3x_0" localSheetId="54">'311'!$H$74</definedName>
    <definedName name="OSRRefH22_3x_0" localSheetId="66">'313'!$H$38</definedName>
    <definedName name="OSRRefH22_3x_0" localSheetId="57">'315'!$H$95:$H$96</definedName>
    <definedName name="OSRRefH22_3x_0" localSheetId="60">'316'!$H$46</definedName>
    <definedName name="OSRRefH22_3x_0" localSheetId="62">'317'!$H$67</definedName>
    <definedName name="OSRRefH22_3x_0" localSheetId="67">'321'!$H$38</definedName>
    <definedName name="OSRRefH22_3x_0" localSheetId="68">'322'!$H$31</definedName>
    <definedName name="OSRRefH22_3x_0" localSheetId="69">'325'!$H$38</definedName>
    <definedName name="OSRRefH22_3x_0" localSheetId="58">'326'!$H$58</definedName>
    <definedName name="OSRRefH22_3x_0" localSheetId="51">'330'!$H$53</definedName>
    <definedName name="OSRRefH22_3x_0" localSheetId="56">'331'!$H$95</definedName>
    <definedName name="OSRRefH22_3x_0" localSheetId="59">'332'!$H$48</definedName>
    <definedName name="OSRRefH22_3x_0" localSheetId="74">'405'!$H$40</definedName>
    <definedName name="OSRRefH22_3x_0" localSheetId="75">'406'!$H$26</definedName>
    <definedName name="OSRRefH22_3x_0" localSheetId="76">'411'!$H$36:$H$37</definedName>
    <definedName name="OSRRefH22_3x_0" localSheetId="77">'412'!$H$26</definedName>
    <definedName name="OSRRefH22_3x_0" localSheetId="78">'413'!$H$30</definedName>
    <definedName name="OSRRefH22_3x_0" localSheetId="79">'414'!$H$27</definedName>
    <definedName name="OSRRefH22_3x_0" localSheetId="80">'415'!$H$40</definedName>
    <definedName name="OSRRefH22_3x_0" localSheetId="81">'418'!$H$37</definedName>
    <definedName name="OSRRefH22_3x_0" localSheetId="82">'423'!$H$27</definedName>
    <definedName name="OSRRefH22_3x_0" localSheetId="83">'424'!$H$26</definedName>
    <definedName name="OSRRefH22_3x_0" localSheetId="84">'425'!$H$31</definedName>
    <definedName name="OSRRefH22_3x_0" localSheetId="87">'430'!$H$33</definedName>
    <definedName name="OSRRefH22_3x_0" localSheetId="88">'433'!$H$42</definedName>
    <definedName name="OSRRefH22_3x_0" localSheetId="90">'444'!$H$43</definedName>
    <definedName name="OSRRefH22_3x_0" localSheetId="91">'450'!$H$41</definedName>
    <definedName name="OSRRefH22_3x_0" localSheetId="73">'491'!$H$42</definedName>
    <definedName name="OSRRefH22_3x_0" localSheetId="86">'492'!$H$44</definedName>
    <definedName name="OSRRefH22_3x_0" localSheetId="93">'501'!$H$38</definedName>
    <definedName name="OSRRefH22_3x_0" localSheetId="39">'Div 2'!$H$40</definedName>
    <definedName name="OSRRefH22_3x_0" localSheetId="47">'Div 3'!$H$136</definedName>
    <definedName name="OSRRefH22_3x_0" localSheetId="71">'Div 4'!$H$46</definedName>
    <definedName name="OSRRefH22_3x_0" localSheetId="92">'Div 5'!$H$38</definedName>
    <definedName name="OSRRefH22_3x_0" localSheetId="61">'Div 6'!$H$67</definedName>
    <definedName name="OSRRefH22_3x_0" localSheetId="2">Summary!$H$162</definedName>
    <definedName name="OSRRefH22_4x_0" localSheetId="41">'201'!$H$36</definedName>
    <definedName name="OSRRefH22_4x_0" localSheetId="42">'202'!$H$36:$H$37</definedName>
    <definedName name="OSRRefH22_4x_0" localSheetId="43">'203'!$H$39</definedName>
    <definedName name="OSRRefH22_4x_0" localSheetId="44">'204'!$H$38:$H$40</definedName>
    <definedName name="OSRRefH22_4x_0" localSheetId="45">'205'!$H$36</definedName>
    <definedName name="OSRRefH22_4x_0" localSheetId="46">'206'!$H$36</definedName>
    <definedName name="OSRRefH22_4x_0" localSheetId="48">'300'!$H$134</definedName>
    <definedName name="OSRRefH22_4x_0" localSheetId="49">'300 &amp; 317'!$H$156</definedName>
    <definedName name="OSRRefH22_4x_0" localSheetId="50">'301'!$H$43</definedName>
    <definedName name="OSRRefH22_4x_0" localSheetId="52">'307'!$H$50:$H$51</definedName>
    <definedName name="OSRRefH22_4x_0" localSheetId="53">'308'!$H$76</definedName>
    <definedName name="OSRRefH22_4x_0" localSheetId="64">'310'!$H$47</definedName>
    <definedName name="OSRRefH22_4x_0" localSheetId="72">'310 &amp; 491'!$H$52</definedName>
    <definedName name="OSRRefH22_4x_0" localSheetId="54">'311'!$H$76</definedName>
    <definedName name="OSRRefH22_4x_0" localSheetId="66">'313'!$H$40</definedName>
    <definedName name="OSRRefH22_4x_0" localSheetId="57">'315'!$H$98</definedName>
    <definedName name="OSRRefH22_4x_0" localSheetId="60">'316'!$H$48</definedName>
    <definedName name="OSRRefH22_4x_0" localSheetId="62">'317'!$H$69</definedName>
    <definedName name="OSRRefH22_4x_0" localSheetId="67">'321'!$H$40</definedName>
    <definedName name="OSRRefH22_4x_0" localSheetId="68">'322'!$H$33:$H$34</definedName>
    <definedName name="OSRRefH22_4x_0" localSheetId="69">'325'!$H$40</definedName>
    <definedName name="OSRRefH22_4x_0" localSheetId="58">'326'!$H$60</definedName>
    <definedName name="OSRRefH22_4x_0" localSheetId="51">'330'!$H$55:$H$56</definedName>
    <definedName name="OSRRefH22_4x_0" localSheetId="56">'331'!$H$97</definedName>
    <definedName name="OSRRefH22_4x_0" localSheetId="59">'332'!$H$50</definedName>
    <definedName name="OSRRefH22_4x_0" localSheetId="74">'405'!$H$42</definedName>
    <definedName name="OSRRefH22_4x_0" localSheetId="75">'406'!$H$28</definedName>
    <definedName name="OSRRefH22_4x_0" localSheetId="76">'411'!$H$39</definedName>
    <definedName name="OSRRefH22_4x_0" localSheetId="77">'412'!$H$28</definedName>
    <definedName name="OSRRefH22_4x_0" localSheetId="78">'413'!$H$32</definedName>
    <definedName name="OSRRefH22_4x_0" localSheetId="80">'415'!$H$42</definedName>
    <definedName name="OSRRefH22_4x_0" localSheetId="81">'418'!$H$39:$H$40</definedName>
    <definedName name="OSRRefH22_4x_0" localSheetId="84">'425'!$H$33</definedName>
    <definedName name="OSRRefH22_4x_0" localSheetId="87">'430'!$H$35:$H$36</definedName>
    <definedName name="OSRRefH22_4x_0" localSheetId="88">'433'!$H$44</definedName>
    <definedName name="OSRRefH22_4x_0" localSheetId="90">'444'!$H$45</definedName>
    <definedName name="OSRRefH22_4x_0" localSheetId="91">'450'!$H$43</definedName>
    <definedName name="OSRRefH22_4x_0" localSheetId="73">'491'!$H$44</definedName>
    <definedName name="OSRRefH22_4x_0" localSheetId="86">'492'!$H$46</definedName>
    <definedName name="OSRRefH22_4x_0" localSheetId="93">'501'!$H$40</definedName>
    <definedName name="OSRRefH22_4x_0" localSheetId="39">'Div 2'!$H$42</definedName>
    <definedName name="OSRRefH22_4x_0" localSheetId="47">'Div 3'!$H$138</definedName>
    <definedName name="OSRRefH22_4x_0" localSheetId="71">'Div 4'!$H$48</definedName>
    <definedName name="OSRRefH22_4x_0" localSheetId="92">'Div 5'!$H$40</definedName>
    <definedName name="OSRRefH22_4x_0" localSheetId="61">'Div 6'!$H$69</definedName>
    <definedName name="OSRRefH22_4x_0" localSheetId="2">Summary!$H$164</definedName>
    <definedName name="OSRRefH22_5x_0" localSheetId="41">'201'!$H$38</definedName>
    <definedName name="OSRRefH22_5x_0" localSheetId="42">'202'!$H$39</definedName>
    <definedName name="OSRRefH22_5x_0" localSheetId="43">'203'!$H$41</definedName>
    <definedName name="OSRRefH22_5x_0" localSheetId="44">'204'!$H$42</definedName>
    <definedName name="OSRRefH22_5x_0" localSheetId="45">'205'!$H$38</definedName>
    <definedName name="OSRRefH22_5x_0" localSheetId="46">'206'!$H$38</definedName>
    <definedName name="OSRRefH22_5x_0" localSheetId="48">'300'!$H$136:$H$137</definedName>
    <definedName name="OSRRefH22_5x_0" localSheetId="49">'300 &amp; 317'!$H$158:$H$159</definedName>
    <definedName name="OSRRefH22_5x_0" localSheetId="50">'301'!$H$45:$H$46</definedName>
    <definedName name="OSRRefH22_5x_0" localSheetId="52">'307'!$H$53</definedName>
    <definedName name="OSRRefH22_5x_0" localSheetId="53">'308'!$H$78</definedName>
    <definedName name="OSRRefH22_5x_0" localSheetId="64">'310'!$H$49:$H$50</definedName>
    <definedName name="OSRRefH22_5x_0" localSheetId="72">'310 &amp; 491'!$H$54:$H$55</definedName>
    <definedName name="OSRRefH22_5x_0" localSheetId="54">'311'!$H$78</definedName>
    <definedName name="OSRRefH22_5x_0" localSheetId="66">'313'!$H$42</definedName>
    <definedName name="OSRRefH22_5x_0" localSheetId="57">'315'!$H$100:$H$101</definedName>
    <definedName name="OSRRefH22_5x_0" localSheetId="60">'316'!$H$50:$H$51</definedName>
    <definedName name="OSRRefH22_5x_0" localSheetId="62">'317'!$H$71:$H$72</definedName>
    <definedName name="OSRRefH22_5x_0" localSheetId="67">'321'!$H$42</definedName>
    <definedName name="OSRRefH22_5x_0" localSheetId="68">'322'!$H$36</definedName>
    <definedName name="OSRRefH22_5x_0" localSheetId="69">'325'!$H$42:$H$43</definedName>
    <definedName name="OSRRefH22_5x_0" localSheetId="58">'326'!$H$62</definedName>
    <definedName name="OSRRefH22_5x_0" localSheetId="51">'330'!$H$58:$H$59</definedName>
    <definedName name="OSRRefH22_5x_0" localSheetId="56">'331'!$H$99:$H$100</definedName>
    <definedName name="OSRRefH22_5x_0" localSheetId="59">'332'!$H$52:$H$53</definedName>
    <definedName name="OSRRefH22_5x_0" localSheetId="74">'405'!$H$44:$H$45</definedName>
    <definedName name="OSRRefH22_5x_0" localSheetId="76">'411'!$H$41</definedName>
    <definedName name="OSRRefH22_5x_0" localSheetId="78">'413'!$H$34</definedName>
    <definedName name="OSRRefH22_5x_0" localSheetId="80">'415'!$H$44:$H$45</definedName>
    <definedName name="OSRRefH22_5x_0" localSheetId="81">'418'!$H$42</definedName>
    <definedName name="OSRRefH22_5x_0" localSheetId="87">'430'!$H$38</definedName>
    <definedName name="OSRRefH22_5x_0" localSheetId="88">'433'!$H$46</definedName>
    <definedName name="OSRRefH22_5x_0" localSheetId="90">'444'!$H$47</definedName>
    <definedName name="OSRRefH22_5x_0" localSheetId="91">'450'!$H$45</definedName>
    <definedName name="OSRRefH22_5x_0" localSheetId="73">'491'!$H$46:$H$47</definedName>
    <definedName name="OSRRefH22_5x_0" localSheetId="86">'492'!$H$48</definedName>
    <definedName name="OSRRefH22_5x_0" localSheetId="93">'501'!$H$42</definedName>
    <definedName name="OSRRefH22_5x_0" localSheetId="39">'Div 2'!$H$44</definedName>
    <definedName name="OSRRefH22_5x_0" localSheetId="47">'Div 3'!$H$140:$H$141</definedName>
    <definedName name="OSRRefH22_5x_0" localSheetId="71">'Div 4'!$H$50:$H$51</definedName>
    <definedName name="OSRRefH22_5x_0" localSheetId="92">'Div 5'!$H$42</definedName>
    <definedName name="OSRRefH22_5x_0" localSheetId="61">'Div 6'!$H$71:$H$72</definedName>
    <definedName name="OSRRefH22_5x_0" localSheetId="2">Summary!$H$166:$H$167</definedName>
    <definedName name="OSRRefH22_6x_0" localSheetId="41">'201'!$H$40</definedName>
    <definedName name="OSRRefH22_6x_0" localSheetId="42">'202'!$H$41:$H$43</definedName>
    <definedName name="OSRRefH22_6x_0" localSheetId="43">'203'!$H$43:$H$44</definedName>
    <definedName name="OSRRefH22_6x_0" localSheetId="44">'204'!$H$44:$H$45</definedName>
    <definedName name="OSRRefH22_6x_0" localSheetId="46">'206'!$H$40</definedName>
    <definedName name="OSRRefH22_6x_0" localSheetId="48">'300'!$H$139:$H$140</definedName>
    <definedName name="OSRRefH22_6x_0" localSheetId="49">'300 &amp; 317'!$H$161:$H$162</definedName>
    <definedName name="OSRRefH22_6x_0" localSheetId="50">'301'!$H$48</definedName>
    <definedName name="OSRRefH22_6x_0" localSheetId="52">'307'!$H$55</definedName>
    <definedName name="OSRRefH22_6x_0" localSheetId="53">'308'!$H$80</definedName>
    <definedName name="OSRRefH22_6x_0" localSheetId="64">'310'!$H$52</definedName>
    <definedName name="OSRRefH22_6x_0" localSheetId="72">'310 &amp; 491'!$H$57</definedName>
    <definedName name="OSRRefH22_6x_0" localSheetId="54">'311'!$H$80</definedName>
    <definedName name="OSRRefH22_6x_0" localSheetId="57">'315'!$H$103:$H$104</definedName>
    <definedName name="OSRRefH22_6x_0" localSheetId="60">'316'!$H$53:$H$54</definedName>
    <definedName name="OSRRefH22_6x_0" localSheetId="62">'317'!$H$74</definedName>
    <definedName name="OSRRefH22_6x_0" localSheetId="67">'321'!$H$44:$H$45</definedName>
    <definedName name="OSRRefH22_6x_0" localSheetId="68">'322'!$H$38</definedName>
    <definedName name="OSRRefH22_6x_0" localSheetId="69">'325'!$H$45</definedName>
    <definedName name="OSRRefH22_6x_0" localSheetId="58">'326'!$H$64</definedName>
    <definedName name="OSRRefH22_6x_0" localSheetId="51">'330'!$H$61</definedName>
    <definedName name="OSRRefH22_6x_0" localSheetId="56">'331'!$H$102</definedName>
    <definedName name="OSRRefH22_6x_0" localSheetId="59">'332'!$H$55:$H$56</definedName>
    <definedName name="OSRRefH22_6x_0" localSheetId="74">'405'!$H$47</definedName>
    <definedName name="OSRRefH22_6x_0" localSheetId="76">'411'!$H$43</definedName>
    <definedName name="OSRRefH22_6x_0" localSheetId="80">'415'!$H$47</definedName>
    <definedName name="OSRRefH22_6x_0" localSheetId="81">'418'!$H$44</definedName>
    <definedName name="OSRRefH22_6x_0" localSheetId="87">'430'!$H$40</definedName>
    <definedName name="OSRRefH22_6x_0" localSheetId="88">'433'!$H$48</definedName>
    <definedName name="OSRRefH22_6x_0" localSheetId="90">'444'!$H$49</definedName>
    <definedName name="OSRRefH22_6x_0" localSheetId="91">'450'!$H$47</definedName>
    <definedName name="OSRRefH22_6x_0" localSheetId="73">'491'!$H$49</definedName>
    <definedName name="OSRRefH22_6x_0" localSheetId="86">'492'!$H$50</definedName>
    <definedName name="OSRRefH22_6x_0" localSheetId="93">'501'!$H$44</definedName>
    <definedName name="OSRRefH22_6x_0" localSheetId="39">'Div 2'!$H$46</definedName>
    <definedName name="OSRRefH22_6x_0" localSheetId="47">'Div 3'!$H$143:$H$144</definedName>
    <definedName name="OSRRefH22_6x_0" localSheetId="71">'Div 4'!$H$53</definedName>
    <definedName name="OSRRefH22_6x_0" localSheetId="92">'Div 5'!$H$44</definedName>
    <definedName name="OSRRefH22_6x_0" localSheetId="61">'Div 6'!$H$74</definedName>
    <definedName name="OSRRefH22_6x_0" localSheetId="2">Summary!$H$169:$H$170</definedName>
    <definedName name="OSRRefH22_7x_0" localSheetId="41">'201'!$H$42</definedName>
    <definedName name="OSRRefH22_7x_0" localSheetId="42">'202'!$H$45</definedName>
    <definedName name="OSRRefH22_7x_0" localSheetId="43">'203'!$H$46:$H$47</definedName>
    <definedName name="OSRRefH22_7x_0" localSheetId="48">'300'!$H$142</definedName>
    <definedName name="OSRRefH22_7x_0" localSheetId="49">'300 &amp; 317'!$H$164</definedName>
    <definedName name="OSRRefH22_7x_0" localSheetId="50">'301'!$H$50</definedName>
    <definedName name="OSRRefH22_7x_0" localSheetId="52">'307'!$H$57</definedName>
    <definedName name="OSRRefH22_7x_0" localSheetId="53">'308'!$H$82</definedName>
    <definedName name="OSRRefH22_7x_0" localSheetId="64">'310'!$H$54</definedName>
    <definedName name="OSRRefH22_7x_0" localSheetId="72">'310 &amp; 491'!$H$59</definedName>
    <definedName name="OSRRefH22_7x_0" localSheetId="54">'311'!$H$82</definedName>
    <definedName name="OSRRefH22_7x_0" localSheetId="57">'315'!$H$106:$H$107</definedName>
    <definedName name="OSRRefH22_7x_0" localSheetId="60">'316'!$H$56</definedName>
    <definedName name="OSRRefH22_7x_0" localSheetId="62">'317'!$H$76</definedName>
    <definedName name="OSRRefH22_7x_0" localSheetId="67">'321'!$H$47</definedName>
    <definedName name="OSRRefH22_7x_0" localSheetId="69">'325'!$H$47</definedName>
    <definedName name="OSRRefH22_7x_0" localSheetId="58">'326'!$H$66</definedName>
    <definedName name="OSRRefH22_7x_0" localSheetId="51">'330'!$H$63</definedName>
    <definedName name="OSRRefH22_7x_0" localSheetId="56">'331'!$H$104:$H$105</definedName>
    <definedName name="OSRRefH22_7x_0" localSheetId="59">'332'!$H$58</definedName>
    <definedName name="OSRRefH22_7x_0" localSheetId="74">'405'!$H$49</definedName>
    <definedName name="OSRRefH22_7x_0" localSheetId="76">'411'!$H$45</definedName>
    <definedName name="OSRRefH22_7x_0" localSheetId="80">'415'!$H$49</definedName>
    <definedName name="OSRRefH22_7x_0" localSheetId="81">'418'!$H$46:$H$47</definedName>
    <definedName name="OSRRefH22_7x_0" localSheetId="88">'433'!$H$50</definedName>
    <definedName name="OSRRefH22_7x_0" localSheetId="90">'444'!$H$51</definedName>
    <definedName name="OSRRefH22_7x_0" localSheetId="91">'450'!$H$49</definedName>
    <definedName name="OSRRefH22_7x_0" localSheetId="73">'491'!$H$51</definedName>
    <definedName name="OSRRefH22_7x_0" localSheetId="86">'492'!$H$52</definedName>
    <definedName name="OSRRefH22_7x_0" localSheetId="93">'501'!$H$46</definedName>
    <definedName name="OSRRefH22_7x_0" localSheetId="39">'Div 2'!$H$48</definedName>
    <definedName name="OSRRefH22_7x_0" localSheetId="47">'Div 3'!$H$146</definedName>
    <definedName name="OSRRefH22_7x_0" localSheetId="71">'Div 4'!$H$55</definedName>
    <definedName name="OSRRefH22_7x_0" localSheetId="92">'Div 5'!$H$46</definedName>
    <definedName name="OSRRefH22_7x_0" localSheetId="61">'Div 6'!$H$76</definedName>
    <definedName name="OSRRefH22_7x_0" localSheetId="2">Summary!$H$172</definedName>
    <definedName name="OSRRefH22_8x_0" localSheetId="41">'201'!$H$44:$H$45</definedName>
    <definedName name="OSRRefH22_8x_0" localSheetId="42">'202'!$H$47:$H$48</definedName>
    <definedName name="OSRRefH22_8x_0" localSheetId="43">'203'!$H$49</definedName>
    <definedName name="OSRRefH22_8x_0" localSheetId="48">'300'!$H$144</definedName>
    <definedName name="OSRRefH22_8x_0" localSheetId="49">'300 &amp; 317'!$H$166</definedName>
    <definedName name="OSRRefH22_8x_0" localSheetId="50">'301'!$H$52</definedName>
    <definedName name="OSRRefH22_8x_0" localSheetId="52">'307'!$H$59:$H$60</definedName>
    <definedName name="OSRRefH22_8x_0" localSheetId="53">'308'!$H$84</definedName>
    <definedName name="OSRRefH22_8x_0" localSheetId="64">'310'!$H$56</definedName>
    <definedName name="OSRRefH22_8x_0" localSheetId="72">'310 &amp; 491'!$H$61</definedName>
    <definedName name="OSRRefH22_8x_0" localSheetId="54">'311'!$H$84</definedName>
    <definedName name="OSRRefH22_8x_0" localSheetId="57">'315'!$H$109:$H$110</definedName>
    <definedName name="OSRRefH22_8x_0" localSheetId="60">'316'!$H$58:$H$62</definedName>
    <definedName name="OSRRefH22_8x_0" localSheetId="62">'317'!$H$78:$H$80</definedName>
    <definedName name="OSRRefH22_8x_0" localSheetId="67">'321'!$H$49:$H$52</definedName>
    <definedName name="OSRRefH22_8x_0" localSheetId="69">'325'!$H$49</definedName>
    <definedName name="OSRRefH22_8x_0" localSheetId="58">'326'!$H$68</definedName>
    <definedName name="OSRRefH22_8x_0" localSheetId="51">'330'!$H$65:$H$66</definedName>
    <definedName name="OSRRefH22_8x_0" localSheetId="56">'331'!$H$107</definedName>
    <definedName name="OSRRefH22_8x_0" localSheetId="59">'332'!$H$60:$H$64</definedName>
    <definedName name="OSRRefH22_8x_0" localSheetId="74">'405'!$H$51:$H$52</definedName>
    <definedName name="OSRRefH22_8x_0" localSheetId="76">'411'!$H$47:$H$49</definedName>
    <definedName name="OSRRefH22_8x_0" localSheetId="80">'415'!$H$51</definedName>
    <definedName name="OSRRefH22_8x_0" localSheetId="81">'418'!$H$49</definedName>
    <definedName name="OSRRefH22_8x_0" localSheetId="88">'433'!$H$52</definedName>
    <definedName name="OSRRefH22_8x_0" localSheetId="90">'444'!$H$53</definedName>
    <definedName name="OSRRefH22_8x_0" localSheetId="91">'450'!$H$51</definedName>
    <definedName name="OSRRefH22_8x_0" localSheetId="73">'491'!$H$53</definedName>
    <definedName name="OSRRefH22_8x_0" localSheetId="86">'492'!$H$54</definedName>
    <definedName name="OSRRefH22_8x_0" localSheetId="93">'501'!$H$48</definedName>
    <definedName name="OSRRefH22_8x_0" localSheetId="39">'Div 2'!$H$50:$H$51</definedName>
    <definedName name="OSRRefH22_8x_0" localSheetId="47">'Div 3'!$H$148</definedName>
    <definedName name="OSRRefH22_8x_0" localSheetId="71">'Div 4'!$H$57</definedName>
    <definedName name="OSRRefH22_8x_0" localSheetId="92">'Div 5'!$H$48</definedName>
    <definedName name="OSRRefH22_8x_0" localSheetId="61">'Div 6'!$H$78:$H$80</definedName>
    <definedName name="OSRRefH22_8x_0" localSheetId="2">Summary!$H$174</definedName>
    <definedName name="OSRRefH22_9x_0" localSheetId="41">'201'!$H$47</definedName>
    <definedName name="OSRRefH22_9x_0" localSheetId="42">'202'!$H$50</definedName>
    <definedName name="OSRRefH22_9x_0" localSheetId="43">'203'!$H$51:$H$54</definedName>
    <definedName name="OSRRefH22_9x_0" localSheetId="48">'300'!$H$146:$H$147</definedName>
    <definedName name="OSRRefH22_9x_0" localSheetId="49">'300 &amp; 317'!$H$168:$H$169</definedName>
    <definedName name="OSRRefH22_9x_0" localSheetId="50">'301'!$H$54</definedName>
    <definedName name="OSRRefH22_9x_0" localSheetId="52">'307'!$H$62:$H$63</definedName>
    <definedName name="OSRRefH22_9x_0" localSheetId="53">'308'!$H$86:$H$87</definedName>
    <definedName name="OSRRefH22_9x_0" localSheetId="64">'310'!$H$58</definedName>
    <definedName name="OSRRefH22_9x_0" localSheetId="72">'310 &amp; 491'!$H$63</definedName>
    <definedName name="OSRRefH22_9x_0" localSheetId="54">'311'!$H$86:$H$87</definedName>
    <definedName name="OSRRefH22_9x_0" localSheetId="57">'315'!$H$112:$H$114</definedName>
    <definedName name="OSRRefH22_9x_0" localSheetId="60">'316'!$H$64</definedName>
    <definedName name="OSRRefH22_9x_0" localSheetId="62">'317'!$H$82</definedName>
    <definedName name="OSRRefH22_9x_0" localSheetId="67">'321'!$H$54</definedName>
    <definedName name="OSRRefH22_9x_0" localSheetId="69">'325'!$H$51:$H$52</definedName>
    <definedName name="OSRRefH22_9x_0" localSheetId="58">'326'!$H$70</definedName>
    <definedName name="OSRRefH22_9x_0" localSheetId="51">'330'!$H$68:$H$69</definedName>
    <definedName name="OSRRefH22_9x_0" localSheetId="56">'331'!$H$109:$H$110</definedName>
    <definedName name="OSRRefH22_9x_0" localSheetId="59">'332'!$H$66</definedName>
    <definedName name="OSRRefH22_9x_0" localSheetId="74">'405'!$H$54:$H$56</definedName>
    <definedName name="OSRRefH22_9x_0" localSheetId="76">'411'!$H$51:$H$52</definedName>
    <definedName name="OSRRefH22_9x_0" localSheetId="80">'415'!$H$53</definedName>
    <definedName name="OSRRefH22_9x_0" localSheetId="81">'418'!$H$51:$H$53</definedName>
    <definedName name="OSRRefH22_9x_0" localSheetId="88">'433'!$H$54</definedName>
    <definedName name="OSRRefH22_9x_0" localSheetId="90">'444'!$H$55</definedName>
    <definedName name="OSRRefH22_9x_0" localSheetId="91">'450'!$H$53</definedName>
    <definedName name="OSRRefH22_9x_0" localSheetId="73">'491'!$H$55</definedName>
    <definedName name="OSRRefH22_9x_0" localSheetId="86">'492'!$H$56</definedName>
    <definedName name="OSRRefH22_9x_0" localSheetId="93">'501'!$H$50</definedName>
    <definedName name="OSRRefH22_9x_0" localSheetId="39">'Div 2'!$H$53</definedName>
    <definedName name="OSRRefH22_9x_0" localSheetId="47">'Div 3'!$H$150:$H$151</definedName>
    <definedName name="OSRRefH22_9x_0" localSheetId="71">'Div 4'!$H$59</definedName>
    <definedName name="OSRRefH22_9x_0" localSheetId="92">'Div 5'!$H$50</definedName>
    <definedName name="OSRRefH22_9x_0" localSheetId="61">'Div 6'!$H$82</definedName>
    <definedName name="OSRRefH22_9x_0" localSheetId="2">Summary!$H$176</definedName>
    <definedName name="OSRRefH22x_0" localSheetId="40">'200'!$H$20,'200'!$H$22,'200'!$H$24,'200'!$H$26</definedName>
    <definedName name="OSRRefH22x_0" localSheetId="41">'201'!$H$20:$H$27,'201'!$H$29:$H$30,'201'!$H$32,'201'!$H$34,'201'!$H$36,'201'!$H$38,'201'!$H$40,'201'!$H$42,'201'!$H$44:$H$45,'201'!$H$47,'201'!$H$49:$H$50,'201'!$H$52</definedName>
    <definedName name="OSRRefH22x_0" localSheetId="42">'202'!$H$20:$H$27,'202'!$H$29:$H$30,'202'!$H$32,'202'!$H$34,'202'!$H$36:$H$37,'202'!$H$39,'202'!$H$41:$H$43,'202'!$H$45,'202'!$H$47:$H$48,'202'!$H$50,'202'!$H$52,'202'!$H$54</definedName>
    <definedName name="OSRRefH22x_0" localSheetId="43">'203'!$H$20:$H$28,'203'!$H$30:$H$33,'203'!$H$35,'203'!$H$37,'203'!$H$39,'203'!$H$41,'203'!$H$43:$H$44,'203'!$H$46:$H$47,'203'!$H$49,'203'!$H$51:$H$54,'203'!$H$56</definedName>
    <definedName name="OSRRefH22x_0" localSheetId="44">'204'!$H$20:$H$28,'204'!$H$30:$H$32,'204'!$H$34,'204'!$H$36,'204'!$H$38:$H$40,'204'!$H$42,'204'!$H$44:$H$45</definedName>
    <definedName name="OSRRefH22x_0" localSheetId="45">'205'!$H$20:$H$27,'205'!$H$29,'205'!$H$31,'205'!$H$33:$H$34,'205'!$H$36,'205'!$H$38</definedName>
    <definedName name="OSRRefH22x_0" localSheetId="46">'206'!$H$20:$H$26,'206'!$H$28:$H$30,'206'!$H$32,'206'!$H$34,'206'!$H$36,'206'!$H$38,'206'!$H$40</definedName>
    <definedName name="OSRRefH22x_0" localSheetId="48">'300'!$H$111:$H$120,'300'!$H$122:$H$128,'300'!$H$130,'300'!$H$132,'300'!$H$134,'300'!$H$136:$H$137,'300'!$H$139:$H$140,'300'!$H$142,'300'!$H$144,'300'!$H$146:$H$147,'300'!$H$149,'300'!$H$151,'300'!$H$153:$H$154,'300'!$H$156,'300'!$H$158:$H$161,'300'!$H$163:$H$165,'300'!$H$167:$H$170,'300'!$H$172:$H$173,'300'!$H$175:$H$180,'300'!$H$182:$H$183,'300'!$H$185,'300'!$H$187:$H$189,'300'!$H$191</definedName>
    <definedName name="OSRRefH22x_0" localSheetId="49">'300 &amp; 317'!$H$133:$H$142,'300 &amp; 317'!$H$144:$H$150,'300 &amp; 317'!$H$152,'300 &amp; 317'!$H$154,'300 &amp; 317'!$H$156,'300 &amp; 317'!$H$158:$H$159,'300 &amp; 317'!$H$161:$H$162,'300 &amp; 317'!$H$164,'300 &amp; 317'!$H$166,'300 &amp; 317'!$H$168:$H$169,'300 &amp; 317'!$H$171,'300 &amp; 317'!$H$173,'300 &amp; 317'!$H$175:$H$176,'300 &amp; 317'!$H$178,'300 &amp; 317'!$H$180:$H$183,'300 &amp; 317'!$H$185:$H$187,'300 &amp; 317'!$H$189:$H$192,'300 &amp; 317'!$H$194:$H$195,'300 &amp; 317'!$H$197:$H$202,'300 &amp; 317'!$H$204:$H$205,'300 &amp; 317'!$H$207,'300 &amp; 317'!$H$209:$H$211,'300 &amp; 317'!$H$213</definedName>
    <definedName name="OSRRefH22x_0" localSheetId="50">'301'!$H$20:$H$29,'301'!$H$31:$H$37,'301'!$H$39,'301'!$H$41,'301'!$H$43,'301'!$H$45:$H$46,'301'!$H$48,'301'!$H$50,'301'!$H$52,'301'!$H$54,'301'!$H$56,'301'!$H$58,'301'!$H$60,'301'!$H$62:$H$65,'301'!$H$67:$H$69,'301'!$H$71:$H$75,'301'!$H$77,'301'!$H$79,'301'!$H$81:$H$82,'301'!$H$84</definedName>
    <definedName name="OSRRefH22x_0" localSheetId="52">'307'!$H$39:$H$41,'307'!$H$43:$H$44,'307'!$H$46,'307'!$H$48,'307'!$H$50:$H$51,'307'!$H$53,'307'!$H$55,'307'!$H$57,'307'!$H$59:$H$60,'307'!$H$62:$H$63,'307'!$H$65:$H$67,'307'!$H$69</definedName>
    <definedName name="OSRRefH22x_0" localSheetId="53">'308'!$H$54:$H$62,'308'!$H$64:$H$70,'308'!$H$72,'308'!$H$74,'308'!$H$76,'308'!$H$78,'308'!$H$80,'308'!$H$82,'308'!$H$84,'308'!$H$86:$H$87,'308'!$H$89,'308'!$H$91:$H$92,'308'!$H$94:$H$95,'308'!$H$97</definedName>
    <definedName name="OSRRefH22x_0" localSheetId="65">'309'!$H$20,'309'!$H$22:$H$23,'309'!$H$25:$H$26,'309'!$H$28</definedName>
    <definedName name="OSRRefH22x_0" localSheetId="64">'310'!$H$30:$H$37,'310'!$H$39:$H$41,'310'!$H$43,'310'!$H$45,'310'!$H$47,'310'!$H$49:$H$50,'310'!$H$52,'310'!$H$54,'310'!$H$56,'310'!$H$58,'310'!$H$60:$H$61,'310'!$H$63:$H$65,'310'!$H$67:$H$70,'310'!$H$72,'310'!$H$74</definedName>
    <definedName name="OSRRefH22x_0" localSheetId="72">'310 &amp; 491'!$H$33:$H$40,'310 &amp; 491'!$H$42:$H$46,'310 &amp; 491'!$H$48,'310 &amp; 491'!$H$50,'310 &amp; 491'!$H$52,'310 &amp; 491'!$H$54:$H$55,'310 &amp; 491'!$H$57,'310 &amp; 491'!$H$59,'310 &amp; 491'!$H$61,'310 &amp; 491'!$H$63,'310 &amp; 491'!$H$65,'310 &amp; 491'!$H$67,'310 &amp; 491'!$H$69,'310 &amp; 491'!$H$71:$H$73,'310 &amp; 491'!$H$75:$H$78,'310 &amp; 491'!$H$80,'310 &amp; 491'!$H$82:$H$88,'310 &amp; 491'!$H$90,'310 &amp; 491'!$H$92,'310 &amp; 491'!$H$94</definedName>
    <definedName name="OSRRefH22x_0" localSheetId="54">'311'!$H$54:$H$62,'311'!$H$64:$H$70,'311'!$H$72,'311'!$H$74,'311'!$H$76,'311'!$H$78,'311'!$H$80,'311'!$H$82,'311'!$H$84,'311'!$H$86:$H$87,'311'!$H$89,'311'!$H$91:$H$92,'311'!$H$94:$H$95,'311'!$H$97</definedName>
    <definedName name="OSRRefH22x_0" localSheetId="66">'313'!$H$25:$H$32,'313'!$H$34,'313'!$H$36,'313'!$H$38,'313'!$H$40,'313'!$H$42</definedName>
    <definedName name="OSRRefH22x_0" localSheetId="57">'315'!$H$78:$H$85,'315'!$H$87:$H$91,'315'!$H$93,'315'!$H$95:$H$96,'315'!$H$98,'315'!$H$100:$H$101,'315'!$H$103:$H$104,'315'!$H$106:$H$107,'315'!$H$109:$H$110,'315'!$H$112:$H$114,'315'!$H$116,'315'!$H$118</definedName>
    <definedName name="OSRRefH22x_0" localSheetId="60">'316'!$H$31:$H$38,'316'!$H$40:$H$42,'316'!$H$44,'316'!$H$46,'316'!$H$48,'316'!$H$50:$H$51,'316'!$H$53:$H$54,'316'!$H$56,'316'!$H$58:$H$62,'316'!$H$64,'316'!$H$66</definedName>
    <definedName name="OSRRefH22x_0" localSheetId="62">'317'!$H$50:$H$58,'317'!$H$60:$H$63,'317'!$H$65,'317'!$H$67,'317'!$H$69,'317'!$H$71:$H$72,'317'!$H$74,'317'!$H$76,'317'!$H$78:$H$80,'317'!$H$82</definedName>
    <definedName name="OSRRefH22x_0" localSheetId="63">'320'!$H$22:$H$23,'320'!$H$25,'320'!$H$27</definedName>
    <definedName name="OSRRefH22x_0" localSheetId="67">'321'!$H$23:$H$30,'321'!$H$32:$H$34,'321'!$H$36,'321'!$H$38,'321'!$H$40,'321'!$H$42,'321'!$H$44:$H$45,'321'!$H$47,'321'!$H$49:$H$52,'321'!$H$54,'321'!$H$56</definedName>
    <definedName name="OSRRefH22x_0" localSheetId="68">'322'!$H$21:$H$25,'322'!$H$27,'322'!$H$29,'322'!$H$31,'322'!$H$33:$H$34,'322'!$H$36,'322'!$H$38</definedName>
    <definedName name="OSRRefH22x_0" localSheetId="69">'325'!$H$24:$H$30,'325'!$H$32:$H$34,'325'!$H$36,'325'!$H$38,'325'!$H$40,'325'!$H$42:$H$43,'325'!$H$45,'325'!$H$47,'325'!$H$49,'325'!$H$51:$H$52,'325'!$H$54:$H$56,'325'!$H$58:$H$60,'325'!$H$62,'325'!$H$64</definedName>
    <definedName name="OSRRefH22x_0" localSheetId="58">'326'!$H$41:$H$48,'326'!$H$50:$H$54,'326'!$H$56,'326'!$H$58,'326'!$H$60,'326'!$H$62,'326'!$H$64,'326'!$H$66,'326'!$H$68,'326'!$H$70,'326'!$H$72:$H$73,'326'!$H$75,'326'!$H$77:$H$79,'326'!$H$81,'326'!$H$83,'326'!$H$85</definedName>
    <definedName name="OSRRefH22x_0" localSheetId="51">'330'!$H$43:$H$46,'330'!$H$48:$H$49,'330'!$H$51,'330'!$H$53,'330'!$H$55:$H$56,'330'!$H$58:$H$59,'330'!$H$61,'330'!$H$63,'330'!$H$65:$H$66,'330'!$H$68:$H$69,'330'!$H$71:$H$73,'330'!$H$75</definedName>
    <definedName name="OSRRefH22x_0" localSheetId="56">'331'!$H$78:$H$85,'331'!$H$87:$H$91,'331'!$H$93,'331'!$H$95,'331'!$H$97,'331'!$H$99:$H$100,'331'!$H$102,'331'!$H$104:$H$105,'331'!$H$107,'331'!$H$109:$H$110,'331'!$H$112,'331'!$H$114:$H$115,'331'!$H$117:$H$118,'331'!$H$120:$H$121,'331'!$H$123,'331'!$H$125:$H$128,'331'!$H$130,'331'!$H$132,'331'!$H$134</definedName>
    <definedName name="OSRRefH22x_0" localSheetId="59">'332'!$H$33:$H$40,'332'!$H$42:$H$44,'332'!$H$46,'332'!$H$48,'332'!$H$50,'332'!$H$52:$H$53,'332'!$H$55:$H$56,'332'!$H$58,'332'!$H$60:$H$64,'332'!$H$66,'332'!$H$68</definedName>
    <definedName name="OSRRefH22x_0" localSheetId="74">'405'!$H$24:$H$31,'405'!$H$33:$H$36,'405'!$H$38,'405'!$H$40,'405'!$H$42,'405'!$H$44:$H$45,'405'!$H$47,'405'!$H$49,'405'!$H$51:$H$52,'405'!$H$54:$H$56,'405'!$H$58,'405'!$H$60</definedName>
    <definedName name="OSRRefH22x_0" localSheetId="75">'406'!$H$20,'406'!$H$22,'406'!$H$24,'406'!$H$26,'406'!$H$28</definedName>
    <definedName name="OSRRefH22x_0" localSheetId="76">'411'!$H$20:$H$27,'411'!$H$29:$H$32,'411'!$H$34,'411'!$H$36:$H$37,'411'!$H$39,'411'!$H$41,'411'!$H$43,'411'!$H$45,'411'!$H$47:$H$49,'411'!$H$51:$H$52,'411'!$H$54,'411'!$H$56,'411'!$H$58,'411'!$H$60</definedName>
    <definedName name="OSRRefH22x_0" localSheetId="77">'412'!$H$20,'412'!$H$22,'412'!$H$24,'412'!$H$26,'412'!$H$28</definedName>
    <definedName name="OSRRefH22x_0" localSheetId="78">'413'!$H$20:$H$24,'413'!$H$26,'413'!$H$28,'413'!$H$30,'413'!$H$32,'413'!$H$34</definedName>
    <definedName name="OSRRefH22x_0" localSheetId="79">'414'!$H$21,'414'!$H$23,'414'!$H$25,'414'!$H$27</definedName>
    <definedName name="OSRRefH22x_0" localSheetId="80">'415'!$H$24:$H$31,'415'!$H$33:$H$36,'415'!$H$38,'415'!$H$40,'415'!$H$42,'415'!$H$44:$H$45,'415'!$H$47,'415'!$H$49,'415'!$H$51,'415'!$H$53,'415'!$H$55:$H$56,'415'!$H$58:$H$61,'415'!$H$63,'415'!$H$65:$H$70,'415'!$H$72,'415'!$H$74</definedName>
    <definedName name="OSRRefH22x_0" localSheetId="81">'418'!$H$21:$H$28,'418'!$H$30:$H$33,'418'!$H$35,'418'!$H$37,'418'!$H$39:$H$40,'418'!$H$42,'418'!$H$44,'418'!$H$46:$H$47,'418'!$H$49,'418'!$H$51:$H$53,'418'!$H$55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'425'!$H$21:$H$25,'425'!$H$27,'425'!$H$29,'425'!$H$31,'425'!$H$33</definedName>
    <definedName name="OSRRefH22x_0" localSheetId="87">'430'!$H$20:$H$27,'430'!$H$29,'430'!$H$31,'430'!$H$33,'430'!$H$35:$H$36,'430'!$H$38,'430'!$H$40</definedName>
    <definedName name="OSRRefH22x_0" localSheetId="88">'433'!$H$25:$H$33,'433'!$H$35:$H$38,'433'!$H$40,'433'!$H$42,'433'!$H$44,'433'!$H$46,'433'!$H$48,'433'!$H$50,'433'!$H$52,'433'!$H$54,'433'!$H$56,'433'!$H$58:$H$60,'433'!$H$62:$H$66,'433'!$H$68</definedName>
    <definedName name="OSRRefH22x_0" localSheetId="89">'435'!$H$20</definedName>
    <definedName name="OSRRefH22x_0" localSheetId="90">'444'!$H$25:$H$33,'444'!$H$35:$H$39,'444'!$H$41,'444'!$H$43,'444'!$H$45,'444'!$H$47,'444'!$H$49,'444'!$H$51,'444'!$H$53,'444'!$H$55,'444'!$H$57:$H$58,'444'!$H$60:$H$62,'444'!$H$64:$H$69,'444'!$H$71,'444'!$H$73</definedName>
    <definedName name="OSRRefH22x_0" localSheetId="91">'450'!$H$24:$H$32,'450'!$H$34:$H$37,'450'!$H$39,'450'!$H$41,'450'!$H$43,'450'!$H$45,'450'!$H$47,'450'!$H$49,'450'!$H$51,'450'!$H$53,'450'!$H$55:$H$56,'450'!$H$58:$H$61,'450'!$H$63</definedName>
    <definedName name="OSRRefH22x_0" localSheetId="73">'491'!$H$25:$H$32,'491'!$H$34:$H$38,'491'!$H$40,'491'!$H$42,'491'!$H$44,'491'!$H$46:$H$47,'491'!$H$49,'491'!$H$51,'491'!$H$53,'491'!$H$55,'491'!$H$57,'491'!$H$59,'491'!$H$61:$H$63,'491'!$H$65:$H$68,'491'!$H$70,'491'!$H$72:$H$78,'491'!$H$80,'491'!$H$82,'491'!$H$84</definedName>
    <definedName name="OSRRefH22x_0" localSheetId="86">'492'!$H$25:$H$33,'492'!$H$35:$H$40,'492'!$H$42,'492'!$H$44,'492'!$H$46,'492'!$H$48,'492'!$H$50,'492'!$H$52,'492'!$H$54,'492'!$H$56,'492'!$H$58,'492'!$H$60:$H$62,'492'!$H$64:$H$66,'492'!$H$68:$H$73,'492'!$H$75,'492'!$H$77,'492'!$H$79</definedName>
    <definedName name="OSRRefH22x_0" localSheetId="93">'501'!$H$21:$H$28,'501'!$H$30:$H$34,'501'!$H$36,'501'!$H$38,'501'!$H$40,'501'!$H$42,'501'!$H$44,'501'!$H$46,'501'!$H$48,'501'!$H$50</definedName>
    <definedName name="OSRRefH22x_0" localSheetId="39">'Div 2'!$H$20:$H$29,'Div 2'!$H$31:$H$36,'Div 2'!$H$38,'Div 2'!$H$40,'Div 2'!$H$42,'Div 2'!$H$44,'Div 2'!$H$46,'Div 2'!$H$48,'Div 2'!$H$50:$H$51,'Div 2'!$H$53,'Div 2'!$H$55,'Div 2'!$H$57:$H$59,'Div 2'!$H$61:$H$63,'Div 2'!$H$65,'Div 2'!$H$67,'Div 2'!$H$69:$H$73,'Div 2'!$H$75:$H$76,'Div 2'!$H$78,'Div 2'!$H$80</definedName>
    <definedName name="OSRRefH22x_0" localSheetId="47">'Div 3'!$H$115:$H$124,'Div 3'!$H$126:$H$132,'Div 3'!$H$134,'Div 3'!$H$136,'Div 3'!$H$138,'Div 3'!$H$140:$H$141,'Div 3'!$H$143:$H$144,'Div 3'!$H$146,'Div 3'!$H$148,'Div 3'!$H$150:$H$151,'Div 3'!$H$153,'Div 3'!$H$155,'Div 3'!$H$157,'Div 3'!$H$159:$H$160,'Div 3'!$H$162,'Div 3'!$H$164:$H$167,'Div 3'!$H$169:$H$171,'Div 3'!$H$173:$H$177,'Div 3'!$H$179:$H$180,'Div 3'!$H$182:$H$187,'Div 3'!$H$189:$H$190,'Div 3'!$H$192,'Div 3'!$H$194:$H$196,'Div 3'!$H$198</definedName>
    <definedName name="OSRRefH22x_0" localSheetId="71">'Div 4'!$H$27:$H$35,'Div 4'!$H$37:$H$42,'Div 4'!$H$44,'Div 4'!$H$46,'Div 4'!$H$48,'Div 4'!$H$50:$H$51,'Div 4'!$H$53,'Div 4'!$H$55,'Div 4'!$H$57,'Div 4'!$H$59,'Div 4'!$H$61,'Div 4'!$H$63,'Div 4'!$H$65,'Div 4'!$H$67,'Div 4'!$H$69:$H$71,'Div 4'!$H$73:$H$76,'Div 4'!$H$78,'Div 4'!$H$80:$H$87,'Div 4'!$H$89,'Div 4'!$H$91,'Div 4'!$H$93:$H$94,'Div 4'!$H$96</definedName>
    <definedName name="OSRRefH22x_0" localSheetId="92">'Div 5'!$H$21:$H$28,'Div 5'!$H$30:$H$34,'Div 5'!$H$36,'Div 5'!$H$38,'Div 5'!$H$40,'Div 5'!$H$42,'Div 5'!$H$44,'Div 5'!$H$46,'Div 5'!$H$48,'Div 5'!$H$50</definedName>
    <definedName name="OSRRefH22x_0" localSheetId="61">'Div 6'!$H$50:$H$58,'Div 6'!$H$60:$H$63,'Div 6'!$H$65,'Div 6'!$H$67,'Div 6'!$H$69,'Div 6'!$H$71:$H$72,'Div 6'!$H$74,'Div 6'!$H$76,'Div 6'!$H$78:$H$80,'Div 6'!$H$82</definedName>
    <definedName name="OSRRefH22x_0" localSheetId="2">Summary!$H$141:$H$150,Summary!$H$152:$H$158,Summary!$H$160,Summary!$H$162,Summary!$H$164,Summary!$H$166:$H$167,Summary!$H$169:$H$170,Summary!$H$172,Summary!$H$174,Summary!$H$176,Summary!$H$178:$H$179,Summary!$H$181,Summary!$H$183,Summary!$H$185,Summary!$H$187:$H$188,Summary!$H$190,Summary!$H$192,Summary!$H$194:$H$197,Summary!$H$199:$H$201,Summary!$H$203:$H$207,Summary!$H$209:$H$210,Summary!$H$212:$H$220,Summary!$H$222:$H$223,Summary!$H$225,Summary!$H$227:$H$229,Summary!$H$231</definedName>
    <definedName name="OSRRefH25x_0" localSheetId="48">'300'!$H$194:$H$197</definedName>
    <definedName name="OSRRefH25x_0" localSheetId="49">'300 &amp; 317'!$H$216:$H$221</definedName>
    <definedName name="OSRRefH25x_0" localSheetId="50">'301'!$H$87</definedName>
    <definedName name="OSRRefH25x_0" localSheetId="53">'308'!$H$100:$H$102</definedName>
    <definedName name="OSRRefH25x_0" localSheetId="72">'310 &amp; 491'!$H$97:$H$99</definedName>
    <definedName name="OSRRefH25x_0" localSheetId="54">'311'!$H$100:$H$102</definedName>
    <definedName name="OSRRefH25x_0" localSheetId="57">'315'!$H$121:$H$122</definedName>
    <definedName name="OSRRefH25x_0" localSheetId="60">'316'!$H$69</definedName>
    <definedName name="OSRRefH25x_0" localSheetId="62">'317'!$H$85:$H$87</definedName>
    <definedName name="OSRRefH25x_0" localSheetId="63">'320'!$H$30</definedName>
    <definedName name="OSRRefH25x_0" localSheetId="56">'331'!$H$137:$H$138</definedName>
    <definedName name="OSRRefH25x_0" localSheetId="59">'332'!$H$71:$H$72</definedName>
    <definedName name="OSRRefH25x_0" localSheetId="76">'411'!$H$63:$H$64</definedName>
    <definedName name="OSRRefH25x_0" localSheetId="80">'415'!$H$77</definedName>
    <definedName name="OSRRefH25x_0" localSheetId="81">'418'!$H$58</definedName>
    <definedName name="OSRRefH25x_0" localSheetId="85">'455'!$H$21:$H$22</definedName>
    <definedName name="OSRRefH25x_0" localSheetId="73">'491'!$H$87:$H$89</definedName>
    <definedName name="OSRRefH25x_0" localSheetId="93">'501'!$H$53</definedName>
    <definedName name="OSRRefH25x_0" localSheetId="47">'Div 3'!$H$201:$H$204</definedName>
    <definedName name="OSRRefH25x_0" localSheetId="71">'Div 4'!$H$99:$H$101</definedName>
    <definedName name="OSRRefH25x_0" localSheetId="92">'Div 5'!$H$53</definedName>
    <definedName name="OSRRefH25x_0" localSheetId="61">'Div 6'!$H$85:$H$87</definedName>
    <definedName name="OSRRefH25x_0" localSheetId="2">Summary!$H$234:$H$241</definedName>
    <definedName name="OSRRefP13x_0" localSheetId="48">'300'!$P$13:$P$71</definedName>
    <definedName name="OSRRefP13x_0" localSheetId="49">'300 &amp; 317'!$P$13:$P$86</definedName>
    <definedName name="OSRRefP13x_0" localSheetId="52">'307'!$P$13:$P$21</definedName>
    <definedName name="OSRRefP13x_0" localSheetId="53">'308'!$P$13:$P$33</definedName>
    <definedName name="OSRRefP13x_0" localSheetId="64">'310'!$P$13:$P$20</definedName>
    <definedName name="OSRRefP13x_0" localSheetId="72">'310 &amp; 491'!$P$13:$P$23</definedName>
    <definedName name="OSRRefP13x_0" localSheetId="54">'311'!$P$13:$P$33</definedName>
    <definedName name="OSRRefP13x_0" localSheetId="66">'313'!$P$13:$P$16</definedName>
    <definedName name="OSRRefP13x_0" localSheetId="57">'315'!$P$13:$P$51</definedName>
    <definedName name="OSRRefP13x_0" localSheetId="60">'316'!$P$13:$P$23</definedName>
    <definedName name="OSRRefP13x_0" localSheetId="62">'317'!$P$13:$P$31</definedName>
    <definedName name="OSRRefP13x_0" localSheetId="67">'321'!$P$13:$P$14</definedName>
    <definedName name="OSRRefP13x_0" localSheetId="55">'324'!$P$13:$P$16</definedName>
    <definedName name="OSRRefP13x_0" localSheetId="69">'325'!$P$13:$P$14</definedName>
    <definedName name="OSRRefP13x_0" localSheetId="58">'326'!$P$13:$P$31</definedName>
    <definedName name="OSRRefP13x_0" localSheetId="70">'327'!$P$13</definedName>
    <definedName name="OSRRefP13x_0" localSheetId="51">'330'!$P$13:$P$25</definedName>
    <definedName name="OSRRefP13x_0" localSheetId="56">'331'!$P$13:$P$51</definedName>
    <definedName name="OSRRefP13x_0" localSheetId="59">'332'!$P$13:$P$23</definedName>
    <definedName name="OSRRefP13x_0" localSheetId="74">'405'!$P$13:$P$14</definedName>
    <definedName name="OSRRefP13x_0" localSheetId="79">'414'!$P$13</definedName>
    <definedName name="OSRRefP13x_0" localSheetId="80">'415'!$P$13:$P$14</definedName>
    <definedName name="OSRRefP13x_0" localSheetId="88">'433'!$P$13:$P$15</definedName>
    <definedName name="OSRRefP13x_0" localSheetId="90">'444'!$P$13:$P$15</definedName>
    <definedName name="OSRRefP13x_0" localSheetId="91">'450'!$P$13:$P$14</definedName>
    <definedName name="OSRRefP13x_0" localSheetId="73">'491'!$P$13:$P$15</definedName>
    <definedName name="OSRRefP13x_0" localSheetId="86">'492'!$P$13:$P$15</definedName>
    <definedName name="OSRRefP13x_0" localSheetId="93">'501'!$P$13</definedName>
    <definedName name="OSRRefP13x_0" localSheetId="47">'Div 3'!$P$13:$P$73</definedName>
    <definedName name="OSRRefP13x_0" localSheetId="71">'Div 4'!$P$13:$P$17</definedName>
    <definedName name="OSRRefP13x_0" localSheetId="92">'Div 5'!$P$13</definedName>
    <definedName name="OSRRefP13x_0" localSheetId="61">'Div 6'!$P$13:$P$31</definedName>
    <definedName name="OSRRefP13x_0" localSheetId="2">Summary!$P$13:$P$92</definedName>
    <definedName name="OSRRefP16x_0" localSheetId="48">'300'!$P$74:$P$105</definedName>
    <definedName name="OSRRefP16x_0" localSheetId="49">'300 &amp; 317'!$P$89:$P$127</definedName>
    <definedName name="OSRRefP16x_0" localSheetId="52">'307'!$P$24:$P$33</definedName>
    <definedName name="OSRRefP16x_0" localSheetId="53">'308'!$P$36:$P$48</definedName>
    <definedName name="OSRRefP16x_0" localSheetId="64">'310'!$P$23:$P$24</definedName>
    <definedName name="OSRRefP16x_0" localSheetId="72">'310 &amp; 491'!$P$26:$P$27</definedName>
    <definedName name="OSRRefP16x_0" localSheetId="54">'311'!$P$36:$P$48</definedName>
    <definedName name="OSRRefP16x_0" localSheetId="66">'313'!$P$19</definedName>
    <definedName name="OSRRefP16x_0" localSheetId="57">'315'!$P$54:$P$72</definedName>
    <definedName name="OSRRefP16x_0" localSheetId="62">'317'!$P$34:$P$44</definedName>
    <definedName name="OSRRefP16x_0" localSheetId="63">'320'!$P$15:$P$16</definedName>
    <definedName name="OSRRefP16x_0" localSheetId="67">'321'!$P$17</definedName>
    <definedName name="OSRRefP16x_0" localSheetId="68">'322'!$P$15</definedName>
    <definedName name="OSRRefP16x_0" localSheetId="55">'324'!$P$19:$P$21</definedName>
    <definedName name="OSRRefP16x_0" localSheetId="69">'325'!$P$17:$P$18</definedName>
    <definedName name="OSRRefP16x_0" localSheetId="58">'326'!$P$34:$P$35</definedName>
    <definedName name="OSRRefP16x_0" localSheetId="70">'327'!$P$16:$P$17</definedName>
    <definedName name="OSRRefP16x_0" localSheetId="51">'330'!$P$28:$P$37</definedName>
    <definedName name="OSRRefP16x_0" localSheetId="56">'331'!$P$54:$P$72</definedName>
    <definedName name="OSRRefP16x_0" localSheetId="59">'332'!$P$26:$P$27</definedName>
    <definedName name="OSRRefP16x_0" localSheetId="74">'405'!$P$17:$P$18</definedName>
    <definedName name="OSRRefP16x_0" localSheetId="80">'415'!$P$17:$P$18</definedName>
    <definedName name="OSRRefP16x_0" localSheetId="81">'418'!$P$15</definedName>
    <definedName name="OSRRefP16x_0" localSheetId="84">'425'!$P$15</definedName>
    <definedName name="OSRRefP16x_0" localSheetId="88">'433'!$P$18:$P$19</definedName>
    <definedName name="OSRRefP16x_0" localSheetId="90">'444'!$P$18:$P$19</definedName>
    <definedName name="OSRRefP16x_0" localSheetId="91">'450'!$P$17:$P$18</definedName>
    <definedName name="OSRRefP16x_0" localSheetId="73">'491'!$P$18:$P$19</definedName>
    <definedName name="OSRRefP16x_0" localSheetId="86">'492'!$P$18:$P$19</definedName>
    <definedName name="OSRRefP16x_0" localSheetId="47">'Div 3'!$P$76:$P$109</definedName>
    <definedName name="OSRRefP16x_0" localSheetId="71">'Div 4'!$P$20:$P$21</definedName>
    <definedName name="OSRRefP16x_0" localSheetId="61">'Div 6'!$P$34:$P$44</definedName>
    <definedName name="OSRRefP16x_0" localSheetId="2">Summary!$P$95:$P$135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'300'!$P$111:$P$120</definedName>
    <definedName name="OSRRefP22_0x_0" localSheetId="49">'300 &amp; 317'!$P$133:$P$142</definedName>
    <definedName name="OSRRefP22_0x_0" localSheetId="50">'301'!$P$20:$P$29</definedName>
    <definedName name="OSRRefP22_0x_0" localSheetId="52">'307'!$P$39:$P$41</definedName>
    <definedName name="OSRRefP22_0x_0" localSheetId="53">'308'!$P$54:$P$62</definedName>
    <definedName name="OSRRefP22_0x_0" localSheetId="65">'309'!$P$20</definedName>
    <definedName name="OSRRefP22_0x_0" localSheetId="64">'310'!$P$30:$P$37</definedName>
    <definedName name="OSRRefP22_0x_0" localSheetId="72">'310 &amp; 491'!$P$33:$P$40</definedName>
    <definedName name="OSRRefP22_0x_0" localSheetId="54">'311'!$P$54:$P$62</definedName>
    <definedName name="OSRRefP22_0x_0" localSheetId="66">'313'!$P$25:$P$32</definedName>
    <definedName name="OSRRefP22_0x_0" localSheetId="57">'315'!$P$78:$P$85</definedName>
    <definedName name="OSRRefP22_0x_0" localSheetId="60">'316'!$P$31:$P$38</definedName>
    <definedName name="OSRRefP22_0x_0" localSheetId="62">'317'!$P$50:$P$58</definedName>
    <definedName name="OSRRefP22_0x_0" localSheetId="63">'320'!$P$22:$P$23</definedName>
    <definedName name="OSRRefP22_0x_0" localSheetId="67">'321'!$P$23:$P$30</definedName>
    <definedName name="OSRRefP22_0x_0" localSheetId="68">'322'!$P$21:$P$25</definedName>
    <definedName name="OSRRefP22_0x_0" localSheetId="69">'325'!$P$24:$P$30</definedName>
    <definedName name="OSRRefP22_0x_0" localSheetId="58">'326'!$P$41:$P$48</definedName>
    <definedName name="OSRRefP22_0x_0" localSheetId="51">'330'!$P$43:$P$46</definedName>
    <definedName name="OSRRefP22_0x_0" localSheetId="56">'331'!$P$78:$P$85</definedName>
    <definedName name="OSRRefP22_0x_0" localSheetId="59">'332'!$P$33:$P$40</definedName>
    <definedName name="OSRRefP22_0x_0" localSheetId="74">'405'!$P$24:$P$31</definedName>
    <definedName name="OSRRefP22_0x_0" localSheetId="75">'406'!$P$20</definedName>
    <definedName name="OSRRefP22_0x_0" localSheetId="76">'411'!$P$20:$P$27</definedName>
    <definedName name="OSRRefP22_0x_0" localSheetId="77">'412'!$P$20</definedName>
    <definedName name="OSRRefP22_0x_0" localSheetId="78">'413'!$P$20:$P$24</definedName>
    <definedName name="OSRRefP22_0x_0" localSheetId="79">'414'!$P$21</definedName>
    <definedName name="OSRRefP22_0x_0" localSheetId="80">'415'!$P$24:$P$31</definedName>
    <definedName name="OSRRefP22_0x_0" localSheetId="81">'418'!$P$21:$P$28</definedName>
    <definedName name="OSRRefP22_0x_0" localSheetId="82">'423'!$P$20:$P$21</definedName>
    <definedName name="OSRRefP22_0x_0" localSheetId="83">'424'!$P$20</definedName>
    <definedName name="OSRRefP22_0x_0" localSheetId="84">'425'!$P$21:$P$25</definedName>
    <definedName name="OSRRefP22_0x_0" localSheetId="87">'430'!$P$20:$P$27</definedName>
    <definedName name="OSRRefP22_0x_0" localSheetId="88">'433'!$P$25:$P$33</definedName>
    <definedName name="OSRRefP22_0x_0" localSheetId="89">'435'!$P$20</definedName>
    <definedName name="OSRRefP22_0x_0" localSheetId="90">'444'!$P$25:$P$33</definedName>
    <definedName name="OSRRefP22_0x_0" localSheetId="91">'450'!$P$24:$P$32</definedName>
    <definedName name="OSRRefP22_0x_0" localSheetId="73">'491'!$P$25:$P$32</definedName>
    <definedName name="OSRRefP22_0x_0" localSheetId="86">'492'!$P$25:$P$33</definedName>
    <definedName name="OSRRefP22_0x_0" localSheetId="93">'501'!$P$21:$P$28</definedName>
    <definedName name="OSRRefP22_0x_0" localSheetId="39">'Div 2'!$P$20:$P$29</definedName>
    <definedName name="OSRRefP22_0x_0" localSheetId="47">'Div 3'!$P$115:$P$124</definedName>
    <definedName name="OSRRefP22_0x_0" localSheetId="71">'Div 4'!$P$27:$P$35</definedName>
    <definedName name="OSRRefP22_0x_0" localSheetId="92">'Div 5'!$P$21:$P$28</definedName>
    <definedName name="OSRRefP22_0x_0" localSheetId="61">'Div 6'!$P$50:$P$58</definedName>
    <definedName name="OSRRefP22_0x_0" localSheetId="2">Summary!$P$141:$P$150</definedName>
    <definedName name="OSRRefP22_10x_0" localSheetId="41">'201'!$P$49:$P$50</definedName>
    <definedName name="OSRRefP22_10x_0" localSheetId="42">'202'!$P$52</definedName>
    <definedName name="OSRRefP22_10x_0" localSheetId="43">'203'!$P$56</definedName>
    <definedName name="OSRRefP22_10x_0" localSheetId="48">'300'!$P$149</definedName>
    <definedName name="OSRRefP22_10x_0" localSheetId="49">'300 &amp; 317'!$P$171</definedName>
    <definedName name="OSRRefP22_10x_0" localSheetId="50">'301'!$P$56</definedName>
    <definedName name="OSRRefP22_10x_0" localSheetId="52">'307'!$P$65:$P$67</definedName>
    <definedName name="OSRRefP22_10x_0" localSheetId="53">'308'!$P$89</definedName>
    <definedName name="OSRRefP22_10x_0" localSheetId="64">'310'!$P$60:$P$61</definedName>
    <definedName name="OSRRefP22_10x_0" localSheetId="72">'310 &amp; 491'!$P$65</definedName>
    <definedName name="OSRRefP22_10x_0" localSheetId="54">'311'!$P$89</definedName>
    <definedName name="OSRRefP22_10x_0" localSheetId="57">'315'!$P$116</definedName>
    <definedName name="OSRRefP22_10x_0" localSheetId="60">'316'!$P$66</definedName>
    <definedName name="OSRRefP22_10x_0" localSheetId="67">'321'!$P$56</definedName>
    <definedName name="OSRRefP22_10x_0" localSheetId="69">'325'!$P$54:$P$56</definedName>
    <definedName name="OSRRefP22_10x_0" localSheetId="58">'326'!$P$72:$P$73</definedName>
    <definedName name="OSRRefP22_10x_0" localSheetId="51">'330'!$P$71:$P$73</definedName>
    <definedName name="OSRRefP22_10x_0" localSheetId="56">'331'!$P$112</definedName>
    <definedName name="OSRRefP22_10x_0" localSheetId="59">'332'!$P$68</definedName>
    <definedName name="OSRRefP22_10x_0" localSheetId="74">'405'!$P$58</definedName>
    <definedName name="OSRRefP22_10x_0" localSheetId="76">'411'!$P$54</definedName>
    <definedName name="OSRRefP22_10x_0" localSheetId="80">'415'!$P$55:$P$56</definedName>
    <definedName name="OSRRefP22_10x_0" localSheetId="81">'418'!$P$55</definedName>
    <definedName name="OSRRefP22_10x_0" localSheetId="88">'433'!$P$56</definedName>
    <definedName name="OSRRefP22_10x_0" localSheetId="90">'444'!$P$57:$P$58</definedName>
    <definedName name="OSRRefP22_10x_0" localSheetId="91">'450'!$P$55:$P$56</definedName>
    <definedName name="OSRRefP22_10x_0" localSheetId="73">'491'!$P$57</definedName>
    <definedName name="OSRRefP22_10x_0" localSheetId="86">'492'!$P$58</definedName>
    <definedName name="OSRRefP22_10x_0" localSheetId="39">'Div 2'!$P$55</definedName>
    <definedName name="OSRRefP22_10x_0" localSheetId="47">'Div 3'!$P$153</definedName>
    <definedName name="OSRRefP22_10x_0" localSheetId="71">'Div 4'!$P$61</definedName>
    <definedName name="OSRRefP22_10x_0" localSheetId="2">Summary!$P$178:$P$179</definedName>
    <definedName name="OSRRefP22_11x_0" localSheetId="41">'201'!$P$52</definedName>
    <definedName name="OSRRefP22_11x_0" localSheetId="42">'202'!$P$54</definedName>
    <definedName name="OSRRefP22_11x_0" localSheetId="48">'300'!$P$151</definedName>
    <definedName name="OSRRefP22_11x_0" localSheetId="49">'300 &amp; 317'!$P$173</definedName>
    <definedName name="OSRRefP22_11x_0" localSheetId="50">'301'!$P$58</definedName>
    <definedName name="OSRRefP22_11x_0" localSheetId="52">'307'!$P$69</definedName>
    <definedName name="OSRRefP22_11x_0" localSheetId="53">'308'!$P$91:$P$92</definedName>
    <definedName name="OSRRefP22_11x_0" localSheetId="64">'310'!$P$63:$P$65</definedName>
    <definedName name="OSRRefP22_11x_0" localSheetId="72">'310 &amp; 491'!$P$67</definedName>
    <definedName name="OSRRefP22_11x_0" localSheetId="54">'311'!$P$91:$P$92</definedName>
    <definedName name="OSRRefP22_11x_0" localSheetId="57">'315'!$P$118</definedName>
    <definedName name="OSRRefP22_11x_0" localSheetId="69">'325'!$P$58:$P$60</definedName>
    <definedName name="OSRRefP22_11x_0" localSheetId="58">'326'!$P$75</definedName>
    <definedName name="OSRRefP22_11x_0" localSheetId="51">'330'!$P$75</definedName>
    <definedName name="OSRRefP22_11x_0" localSheetId="56">'331'!$P$114:$P$115</definedName>
    <definedName name="OSRRefP22_11x_0" localSheetId="74">'405'!$P$60</definedName>
    <definedName name="OSRRefP22_11x_0" localSheetId="76">'411'!$P$56</definedName>
    <definedName name="OSRRefP22_11x_0" localSheetId="80">'415'!$P$58:$P$61</definedName>
    <definedName name="OSRRefP22_11x_0" localSheetId="88">'433'!$P$58:$P$60</definedName>
    <definedName name="OSRRefP22_11x_0" localSheetId="90">'444'!$P$60:$P$62</definedName>
    <definedName name="OSRRefP22_11x_0" localSheetId="91">'450'!$P$58:$P$61</definedName>
    <definedName name="OSRRefP22_11x_0" localSheetId="73">'491'!$P$59</definedName>
    <definedName name="OSRRefP22_11x_0" localSheetId="86">'492'!$P$60:$P$62</definedName>
    <definedName name="OSRRefP22_11x_0" localSheetId="39">'Div 2'!$P$57:$P$59</definedName>
    <definedName name="OSRRefP22_11x_0" localSheetId="47">'Div 3'!$P$155</definedName>
    <definedName name="OSRRefP22_11x_0" localSheetId="71">'Div 4'!$P$63</definedName>
    <definedName name="OSRRefP22_11x_0" localSheetId="2">Summary!$P$181</definedName>
    <definedName name="OSRRefP22_12x_0" localSheetId="48">'300'!$P$153:$P$154</definedName>
    <definedName name="OSRRefP22_12x_0" localSheetId="49">'300 &amp; 317'!$P$175:$P$176</definedName>
    <definedName name="OSRRefP22_12x_0" localSheetId="50">'301'!$P$60</definedName>
    <definedName name="OSRRefP22_12x_0" localSheetId="53">'308'!$P$94:$P$95</definedName>
    <definedName name="OSRRefP22_12x_0" localSheetId="64">'310'!$P$67:$P$70</definedName>
    <definedName name="OSRRefP22_12x_0" localSheetId="72">'310 &amp; 491'!$P$69</definedName>
    <definedName name="OSRRefP22_12x_0" localSheetId="54">'311'!$P$94:$P$95</definedName>
    <definedName name="OSRRefP22_12x_0" localSheetId="69">'325'!$P$62</definedName>
    <definedName name="OSRRefP22_12x_0" localSheetId="58">'326'!$P$77:$P$79</definedName>
    <definedName name="OSRRefP22_12x_0" localSheetId="56">'331'!$P$117:$P$118</definedName>
    <definedName name="OSRRefP22_12x_0" localSheetId="76">'411'!$P$58</definedName>
    <definedName name="OSRRefP22_12x_0" localSheetId="80">'415'!$P$63</definedName>
    <definedName name="OSRRefP22_12x_0" localSheetId="88">'433'!$P$62:$P$66</definedName>
    <definedName name="OSRRefP22_12x_0" localSheetId="90">'444'!$P$64:$P$69</definedName>
    <definedName name="OSRRefP22_12x_0" localSheetId="91">'450'!$P$63</definedName>
    <definedName name="OSRRefP22_12x_0" localSheetId="73">'491'!$P$61:$P$63</definedName>
    <definedName name="OSRRefP22_12x_0" localSheetId="86">'492'!$P$64:$P$66</definedName>
    <definedName name="OSRRefP22_12x_0" localSheetId="39">'Div 2'!$P$61:$P$63</definedName>
    <definedName name="OSRRefP22_12x_0" localSheetId="47">'Div 3'!$P$157</definedName>
    <definedName name="OSRRefP22_12x_0" localSheetId="71">'Div 4'!$P$65</definedName>
    <definedName name="OSRRefP22_12x_0" localSheetId="2">Summary!$P$183</definedName>
    <definedName name="OSRRefP22_13x_0" localSheetId="48">'300'!$P$156</definedName>
    <definedName name="OSRRefP22_13x_0" localSheetId="49">'300 &amp; 317'!$P$178</definedName>
    <definedName name="OSRRefP22_13x_0" localSheetId="50">'301'!$P$62:$P$65</definedName>
    <definedName name="OSRRefP22_13x_0" localSheetId="53">'308'!$P$97</definedName>
    <definedName name="OSRRefP22_13x_0" localSheetId="64">'310'!$P$72</definedName>
    <definedName name="OSRRefP22_13x_0" localSheetId="72">'310 &amp; 491'!$P$71:$P$73</definedName>
    <definedName name="OSRRefP22_13x_0" localSheetId="54">'311'!$P$97</definedName>
    <definedName name="OSRRefP22_13x_0" localSheetId="69">'325'!$P$64</definedName>
    <definedName name="OSRRefP22_13x_0" localSheetId="58">'326'!$P$81</definedName>
    <definedName name="OSRRefP22_13x_0" localSheetId="56">'331'!$P$120:$P$121</definedName>
    <definedName name="OSRRefP22_13x_0" localSheetId="76">'411'!$P$60</definedName>
    <definedName name="OSRRefP22_13x_0" localSheetId="80">'415'!$P$65:$P$70</definedName>
    <definedName name="OSRRefP22_13x_0" localSheetId="88">'433'!$P$68</definedName>
    <definedName name="OSRRefP22_13x_0" localSheetId="90">'444'!$P$71</definedName>
    <definedName name="OSRRefP22_13x_0" localSheetId="73">'491'!$P$65:$P$68</definedName>
    <definedName name="OSRRefP22_13x_0" localSheetId="86">'492'!$P$68:$P$73</definedName>
    <definedName name="OSRRefP22_13x_0" localSheetId="39">'Div 2'!$P$65</definedName>
    <definedName name="OSRRefP22_13x_0" localSheetId="47">'Div 3'!$P$159:$P$160</definedName>
    <definedName name="OSRRefP22_13x_0" localSheetId="71">'Div 4'!$P$67</definedName>
    <definedName name="OSRRefP22_13x_0" localSheetId="2">Summary!$P$185</definedName>
    <definedName name="OSRRefP22_14x_0" localSheetId="48">'300'!$P$158:$P$161</definedName>
    <definedName name="OSRRefP22_14x_0" localSheetId="49">'300 &amp; 317'!$P$180:$P$183</definedName>
    <definedName name="OSRRefP22_14x_0" localSheetId="50">'301'!$P$67:$P$69</definedName>
    <definedName name="OSRRefP22_14x_0" localSheetId="64">'310'!$P$74</definedName>
    <definedName name="OSRRefP22_14x_0" localSheetId="72">'310 &amp; 491'!$P$75:$P$78</definedName>
    <definedName name="OSRRefP22_14x_0" localSheetId="58">'326'!$P$83</definedName>
    <definedName name="OSRRefP22_14x_0" localSheetId="56">'331'!$P$123</definedName>
    <definedName name="OSRRefP22_14x_0" localSheetId="80">'415'!$P$72</definedName>
    <definedName name="OSRRefP22_14x_0" localSheetId="90">'444'!$P$73</definedName>
    <definedName name="OSRRefP22_14x_0" localSheetId="73">'491'!$P$70</definedName>
    <definedName name="OSRRefP22_14x_0" localSheetId="86">'492'!$P$75</definedName>
    <definedName name="OSRRefP22_14x_0" localSheetId="39">'Div 2'!$P$67</definedName>
    <definedName name="OSRRefP22_14x_0" localSheetId="47">'Div 3'!$P$162</definedName>
    <definedName name="OSRRefP22_14x_0" localSheetId="71">'Div 4'!$P$69:$P$71</definedName>
    <definedName name="OSRRefP22_14x_0" localSheetId="2">Summary!$P$187:$P$188</definedName>
    <definedName name="OSRRefP22_15x_0" localSheetId="48">'300'!$P$163:$P$165</definedName>
    <definedName name="OSRRefP22_15x_0" localSheetId="49">'300 &amp; 317'!$P$185:$P$187</definedName>
    <definedName name="OSRRefP22_15x_0" localSheetId="50">'301'!$P$71:$P$75</definedName>
    <definedName name="OSRRefP22_15x_0" localSheetId="72">'310 &amp; 491'!$P$80</definedName>
    <definedName name="OSRRefP22_15x_0" localSheetId="58">'326'!$P$85</definedName>
    <definedName name="OSRRefP22_15x_0" localSheetId="56">'331'!$P$125:$P$128</definedName>
    <definedName name="OSRRefP22_15x_0" localSheetId="80">'415'!$P$74</definedName>
    <definedName name="OSRRefP22_15x_0" localSheetId="73">'491'!$P$72:$P$78</definedName>
    <definedName name="OSRRefP22_15x_0" localSheetId="86">'492'!$P$77</definedName>
    <definedName name="OSRRefP22_15x_0" localSheetId="39">'Div 2'!$P$69:$P$73</definedName>
    <definedName name="OSRRefP22_15x_0" localSheetId="47">'Div 3'!$P$164:$P$167</definedName>
    <definedName name="OSRRefP22_15x_0" localSheetId="71">'Div 4'!$P$73:$P$76</definedName>
    <definedName name="OSRRefP22_15x_0" localSheetId="2">Summary!$P$190</definedName>
    <definedName name="OSRRefP22_16x_0" localSheetId="48">'300'!$P$167:$P$170</definedName>
    <definedName name="OSRRefP22_16x_0" localSheetId="49">'300 &amp; 317'!$P$189:$P$192</definedName>
    <definedName name="OSRRefP22_16x_0" localSheetId="50">'301'!$P$77</definedName>
    <definedName name="OSRRefP22_16x_0" localSheetId="72">'310 &amp; 491'!$P$82:$P$88</definedName>
    <definedName name="OSRRefP22_16x_0" localSheetId="56">'331'!$P$130</definedName>
    <definedName name="OSRRefP22_16x_0" localSheetId="73">'491'!$P$80</definedName>
    <definedName name="OSRRefP22_16x_0" localSheetId="86">'492'!$P$79</definedName>
    <definedName name="OSRRefP22_16x_0" localSheetId="39">'Div 2'!$P$75:$P$76</definedName>
    <definedName name="OSRRefP22_16x_0" localSheetId="47">'Div 3'!$P$169:$P$171</definedName>
    <definedName name="OSRRefP22_16x_0" localSheetId="71">'Div 4'!$P$78</definedName>
    <definedName name="OSRRefP22_16x_0" localSheetId="2">Summary!$P$192</definedName>
    <definedName name="OSRRefP22_17x_0" localSheetId="48">'300'!$P$172:$P$173</definedName>
    <definedName name="OSRRefP22_17x_0" localSheetId="49">'300 &amp; 317'!$P$194:$P$195</definedName>
    <definedName name="OSRRefP22_17x_0" localSheetId="50">'301'!$P$79</definedName>
    <definedName name="OSRRefP22_17x_0" localSheetId="72">'310 &amp; 491'!$P$90</definedName>
    <definedName name="OSRRefP22_17x_0" localSheetId="56">'331'!$P$132</definedName>
    <definedName name="OSRRefP22_17x_0" localSheetId="73">'491'!$P$82</definedName>
    <definedName name="OSRRefP22_17x_0" localSheetId="39">'Div 2'!$P$78</definedName>
    <definedName name="OSRRefP22_17x_0" localSheetId="47">'Div 3'!$P$173:$P$177</definedName>
    <definedName name="OSRRefP22_17x_0" localSheetId="71">'Div 4'!$P$80:$P$87</definedName>
    <definedName name="OSRRefP22_17x_0" localSheetId="2">Summary!$P$194:$P$197</definedName>
    <definedName name="OSRRefP22_18x_0" localSheetId="48">'300'!$P$175:$P$180</definedName>
    <definedName name="OSRRefP22_18x_0" localSheetId="49">'300 &amp; 317'!$P$197:$P$202</definedName>
    <definedName name="OSRRefP22_18x_0" localSheetId="50">'301'!$P$81:$P$82</definedName>
    <definedName name="OSRRefP22_18x_0" localSheetId="72">'310 &amp; 491'!$P$92</definedName>
    <definedName name="OSRRefP22_18x_0" localSheetId="56">'331'!$P$134</definedName>
    <definedName name="OSRRefP22_18x_0" localSheetId="73">'491'!$P$84</definedName>
    <definedName name="OSRRefP22_18x_0" localSheetId="39">'Div 2'!$P$80</definedName>
    <definedName name="OSRRefP22_18x_0" localSheetId="47">'Div 3'!$P$179:$P$180</definedName>
    <definedName name="OSRRefP22_18x_0" localSheetId="71">'Div 4'!$P$89</definedName>
    <definedName name="OSRRefP22_18x_0" localSheetId="2">Summary!$P$199:$P$201</definedName>
    <definedName name="OSRRefP22_19x_0" localSheetId="48">'300'!$P$182:$P$183</definedName>
    <definedName name="OSRRefP22_19x_0" localSheetId="49">'300 &amp; 317'!$P$204:$P$205</definedName>
    <definedName name="OSRRefP22_19x_0" localSheetId="50">'301'!$P$84</definedName>
    <definedName name="OSRRefP22_19x_0" localSheetId="72">'310 &amp; 491'!$P$94</definedName>
    <definedName name="OSRRefP22_19x_0" localSheetId="47">'Div 3'!$P$182:$P$187</definedName>
    <definedName name="OSRRefP22_19x_0" localSheetId="71">'Div 4'!$P$91</definedName>
    <definedName name="OSRRefP22_19x_0" localSheetId="2">Summary!$P$203:$P$207</definedName>
    <definedName name="OSRRefP22_1x_0" localSheetId="40">'200'!$P$22</definedName>
    <definedName name="OSRRefP22_1x_0" localSheetId="41">'201'!$P$29:$P$30</definedName>
    <definedName name="OSRRefP22_1x_0" localSheetId="42">'202'!$P$29:$P$30</definedName>
    <definedName name="OSRRefP22_1x_0" localSheetId="43">'203'!$P$30:$P$33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'300'!$P$122:$P$128</definedName>
    <definedName name="OSRRefP22_1x_0" localSheetId="49">'300 &amp; 317'!$P$144:$P$150</definedName>
    <definedName name="OSRRefP22_1x_0" localSheetId="50">'301'!$P$31:$P$37</definedName>
    <definedName name="OSRRefP22_1x_0" localSheetId="52">'307'!$P$43:$P$44</definedName>
    <definedName name="OSRRefP22_1x_0" localSheetId="53">'308'!$P$64:$P$70</definedName>
    <definedName name="OSRRefP22_1x_0" localSheetId="65">'309'!$P$22:$P$23</definedName>
    <definedName name="OSRRefP22_1x_0" localSheetId="64">'310'!$P$39:$P$41</definedName>
    <definedName name="OSRRefP22_1x_0" localSheetId="72">'310 &amp; 491'!$P$42:$P$46</definedName>
    <definedName name="OSRRefP22_1x_0" localSheetId="54">'311'!$P$64:$P$70</definedName>
    <definedName name="OSRRefP22_1x_0" localSheetId="66">'313'!$P$34</definedName>
    <definedName name="OSRRefP22_1x_0" localSheetId="57">'315'!$P$87:$P$91</definedName>
    <definedName name="OSRRefP22_1x_0" localSheetId="60">'316'!$P$40:$P$42</definedName>
    <definedName name="OSRRefP22_1x_0" localSheetId="62">'317'!$P$60:$P$63</definedName>
    <definedName name="OSRRefP22_1x_0" localSheetId="63">'320'!$P$25</definedName>
    <definedName name="OSRRefP22_1x_0" localSheetId="67">'321'!$P$32:$P$34</definedName>
    <definedName name="OSRRefP22_1x_0" localSheetId="68">'322'!$P$27</definedName>
    <definedName name="OSRRefP22_1x_0" localSheetId="69">'325'!$P$32:$P$34</definedName>
    <definedName name="OSRRefP22_1x_0" localSheetId="58">'326'!$P$50:$P$54</definedName>
    <definedName name="OSRRefP22_1x_0" localSheetId="51">'330'!$P$48:$P$49</definedName>
    <definedName name="OSRRefP22_1x_0" localSheetId="56">'331'!$P$87:$P$91</definedName>
    <definedName name="OSRRefP22_1x_0" localSheetId="59">'332'!$P$42:$P$44</definedName>
    <definedName name="OSRRefP22_1x_0" localSheetId="74">'405'!$P$33:$P$36</definedName>
    <definedName name="OSRRefP22_1x_0" localSheetId="75">'406'!$P$22</definedName>
    <definedName name="OSRRefP22_1x_0" localSheetId="76">'411'!$P$29:$P$32</definedName>
    <definedName name="OSRRefP22_1x_0" localSheetId="77">'412'!$P$22</definedName>
    <definedName name="OSRRefP22_1x_0" localSheetId="78">'413'!$P$26</definedName>
    <definedName name="OSRRefP22_1x_0" localSheetId="79">'414'!$P$23</definedName>
    <definedName name="OSRRefP22_1x_0" localSheetId="80">'415'!$P$33:$P$36</definedName>
    <definedName name="OSRRefP22_1x_0" localSheetId="81">'418'!$P$30:$P$33</definedName>
    <definedName name="OSRRefP22_1x_0" localSheetId="82">'423'!$P$23</definedName>
    <definedName name="OSRRefP22_1x_0" localSheetId="83">'424'!$P$22</definedName>
    <definedName name="OSRRefP22_1x_0" localSheetId="84">'425'!$P$27</definedName>
    <definedName name="OSRRefP22_1x_0" localSheetId="87">'430'!$P$29</definedName>
    <definedName name="OSRRefP22_1x_0" localSheetId="88">'433'!$P$35:$P$38</definedName>
    <definedName name="OSRRefP22_1x_0" localSheetId="90">'444'!$P$35:$P$39</definedName>
    <definedName name="OSRRefP22_1x_0" localSheetId="91">'450'!$P$34:$P$37</definedName>
    <definedName name="OSRRefP22_1x_0" localSheetId="73">'491'!$P$34:$P$38</definedName>
    <definedName name="OSRRefP22_1x_0" localSheetId="86">'492'!$P$35:$P$40</definedName>
    <definedName name="OSRRefP22_1x_0" localSheetId="93">'501'!$P$30:$P$34</definedName>
    <definedName name="OSRRefP22_1x_0" localSheetId="39">'Div 2'!$P$31:$P$36</definedName>
    <definedName name="OSRRefP22_1x_0" localSheetId="47">'Div 3'!$P$126:$P$132</definedName>
    <definedName name="OSRRefP22_1x_0" localSheetId="71">'Div 4'!$P$37:$P$42</definedName>
    <definedName name="OSRRefP22_1x_0" localSheetId="92">'Div 5'!$P$30:$P$34</definedName>
    <definedName name="OSRRefP22_1x_0" localSheetId="61">'Div 6'!$P$60:$P$63</definedName>
    <definedName name="OSRRefP22_1x_0" localSheetId="2">Summary!$P$152:$P$158</definedName>
    <definedName name="OSRRefP22_20x_0" localSheetId="48">'300'!$P$185</definedName>
    <definedName name="OSRRefP22_20x_0" localSheetId="49">'300 &amp; 317'!$P$207</definedName>
    <definedName name="OSRRefP22_20x_0" localSheetId="47">'Div 3'!$P$189:$P$190</definedName>
    <definedName name="OSRRefP22_20x_0" localSheetId="71">'Div 4'!$P$93:$P$94</definedName>
    <definedName name="OSRRefP22_20x_0" localSheetId="2">Summary!$P$209:$P$210</definedName>
    <definedName name="OSRRefP22_21x_0" localSheetId="48">'300'!$P$187:$P$189</definedName>
    <definedName name="OSRRefP22_21x_0" localSheetId="49">'300 &amp; 317'!$P$209:$P$211</definedName>
    <definedName name="OSRRefP22_21x_0" localSheetId="47">'Div 3'!$P$192</definedName>
    <definedName name="OSRRefP22_21x_0" localSheetId="71">'Div 4'!$P$96</definedName>
    <definedName name="OSRRefP22_21x_0" localSheetId="2">Summary!$P$212:$P$220</definedName>
    <definedName name="OSRRefP22_22x_0" localSheetId="48">'300'!$P$191</definedName>
    <definedName name="OSRRefP22_22x_0" localSheetId="49">'300 &amp; 317'!$P$213</definedName>
    <definedName name="OSRRefP22_22x_0" localSheetId="47">'Div 3'!$P$194:$P$196</definedName>
    <definedName name="OSRRefP22_22x_0" localSheetId="2">Summary!$P$222:$P$223</definedName>
    <definedName name="OSRRefP22_23x_0" localSheetId="47">'Div 3'!$P$198</definedName>
    <definedName name="OSRRefP22_23x_0" localSheetId="2">Summary!$P$225</definedName>
    <definedName name="OSRRefP22_24x_0" localSheetId="2">Summary!$P$227:$P$229</definedName>
    <definedName name="OSRRefP22_25x_0" localSheetId="2">Summary!$P$231</definedName>
    <definedName name="OSRRefP22_2x_0" localSheetId="40">'200'!$P$24</definedName>
    <definedName name="OSRRefP22_2x_0" localSheetId="41">'201'!$P$32</definedName>
    <definedName name="OSRRefP22_2x_0" localSheetId="42">'202'!$P$32</definedName>
    <definedName name="OSRRefP22_2x_0" localSheetId="43">'203'!$P$35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'300'!$P$130</definedName>
    <definedName name="OSRRefP22_2x_0" localSheetId="49">'300 &amp; 317'!$P$152</definedName>
    <definedName name="OSRRefP22_2x_0" localSheetId="50">'301'!$P$39</definedName>
    <definedName name="OSRRefP22_2x_0" localSheetId="52">'307'!$P$46</definedName>
    <definedName name="OSRRefP22_2x_0" localSheetId="53">'308'!$P$72</definedName>
    <definedName name="OSRRefP22_2x_0" localSheetId="65">'309'!$P$25:$P$26</definedName>
    <definedName name="OSRRefP22_2x_0" localSheetId="64">'310'!$P$43</definedName>
    <definedName name="OSRRefP22_2x_0" localSheetId="72">'310 &amp; 491'!$P$48</definedName>
    <definedName name="OSRRefP22_2x_0" localSheetId="54">'311'!$P$72</definedName>
    <definedName name="OSRRefP22_2x_0" localSheetId="66">'313'!$P$36</definedName>
    <definedName name="OSRRefP22_2x_0" localSheetId="57">'315'!$P$93</definedName>
    <definedName name="OSRRefP22_2x_0" localSheetId="60">'316'!$P$44</definedName>
    <definedName name="OSRRefP22_2x_0" localSheetId="62">'317'!$P$65</definedName>
    <definedName name="OSRRefP22_2x_0" localSheetId="63">'320'!$P$27</definedName>
    <definedName name="OSRRefP22_2x_0" localSheetId="67">'321'!$P$36</definedName>
    <definedName name="OSRRefP22_2x_0" localSheetId="68">'322'!$P$29</definedName>
    <definedName name="OSRRefP22_2x_0" localSheetId="69">'325'!$P$36</definedName>
    <definedName name="OSRRefP22_2x_0" localSheetId="58">'326'!$P$56</definedName>
    <definedName name="OSRRefP22_2x_0" localSheetId="51">'330'!$P$51</definedName>
    <definedName name="OSRRefP22_2x_0" localSheetId="56">'331'!$P$93</definedName>
    <definedName name="OSRRefP22_2x_0" localSheetId="59">'332'!$P$46</definedName>
    <definedName name="OSRRefP22_2x_0" localSheetId="74">'405'!$P$38</definedName>
    <definedName name="OSRRefP22_2x_0" localSheetId="75">'406'!$P$24</definedName>
    <definedName name="OSRRefP22_2x_0" localSheetId="76">'411'!$P$34</definedName>
    <definedName name="OSRRefP22_2x_0" localSheetId="77">'412'!$P$24</definedName>
    <definedName name="OSRRefP22_2x_0" localSheetId="78">'413'!$P$28</definedName>
    <definedName name="OSRRefP22_2x_0" localSheetId="79">'414'!$P$25</definedName>
    <definedName name="OSRRefP22_2x_0" localSheetId="80">'415'!$P$38</definedName>
    <definedName name="OSRRefP22_2x_0" localSheetId="81">'418'!$P$35</definedName>
    <definedName name="OSRRefP22_2x_0" localSheetId="82">'423'!$P$25</definedName>
    <definedName name="OSRRefP22_2x_0" localSheetId="83">'424'!$P$24</definedName>
    <definedName name="OSRRefP22_2x_0" localSheetId="84">'425'!$P$29</definedName>
    <definedName name="OSRRefP22_2x_0" localSheetId="87">'430'!$P$31</definedName>
    <definedName name="OSRRefP22_2x_0" localSheetId="88">'433'!$P$40</definedName>
    <definedName name="OSRRefP22_2x_0" localSheetId="90">'444'!$P$41</definedName>
    <definedName name="OSRRefP22_2x_0" localSheetId="91">'450'!$P$39</definedName>
    <definedName name="OSRRefP22_2x_0" localSheetId="73">'491'!$P$40</definedName>
    <definedName name="OSRRefP22_2x_0" localSheetId="86">'492'!$P$42</definedName>
    <definedName name="OSRRefP22_2x_0" localSheetId="93">'501'!$P$36</definedName>
    <definedName name="OSRRefP22_2x_0" localSheetId="39">'Div 2'!$P$38</definedName>
    <definedName name="OSRRefP22_2x_0" localSheetId="47">'Div 3'!$P$134</definedName>
    <definedName name="OSRRefP22_2x_0" localSheetId="71">'Div 4'!$P$44</definedName>
    <definedName name="OSRRefP22_2x_0" localSheetId="92">'Div 5'!$P$36</definedName>
    <definedName name="OSRRefP22_2x_0" localSheetId="61">'Div 6'!$P$65</definedName>
    <definedName name="OSRRefP22_2x_0" localSheetId="2">Summary!$P$160</definedName>
    <definedName name="OSRRefP22_3x_0" localSheetId="40">'200'!$P$26</definedName>
    <definedName name="OSRRefP22_3x_0" localSheetId="41">'201'!$P$34</definedName>
    <definedName name="OSRRefP22_3x_0" localSheetId="42">'202'!$P$34</definedName>
    <definedName name="OSRRefP22_3x_0" localSheetId="43">'203'!$P$37</definedName>
    <definedName name="OSRRefP22_3x_0" localSheetId="44">'204'!$P$36</definedName>
    <definedName name="OSRRefP22_3x_0" localSheetId="45">'205'!$P$33:$P$34</definedName>
    <definedName name="OSRRefP22_3x_0" localSheetId="46">'206'!$P$34</definedName>
    <definedName name="OSRRefP22_3x_0" localSheetId="48">'300'!$P$132</definedName>
    <definedName name="OSRRefP22_3x_0" localSheetId="49">'300 &amp; 317'!$P$154</definedName>
    <definedName name="OSRRefP22_3x_0" localSheetId="50">'301'!$P$41</definedName>
    <definedName name="OSRRefP22_3x_0" localSheetId="52">'307'!$P$48</definedName>
    <definedName name="OSRRefP22_3x_0" localSheetId="53">'308'!$P$74</definedName>
    <definedName name="OSRRefP22_3x_0" localSheetId="65">'309'!$P$28</definedName>
    <definedName name="OSRRefP22_3x_0" localSheetId="64">'310'!$P$45</definedName>
    <definedName name="OSRRefP22_3x_0" localSheetId="72">'310 &amp; 491'!$P$50</definedName>
    <definedName name="OSRRefP22_3x_0" localSheetId="54">'311'!$P$74</definedName>
    <definedName name="OSRRefP22_3x_0" localSheetId="66">'313'!$P$38</definedName>
    <definedName name="OSRRefP22_3x_0" localSheetId="57">'315'!$P$95:$P$96</definedName>
    <definedName name="OSRRefP22_3x_0" localSheetId="60">'316'!$P$46</definedName>
    <definedName name="OSRRefP22_3x_0" localSheetId="62">'317'!$P$67</definedName>
    <definedName name="OSRRefP22_3x_0" localSheetId="67">'321'!$P$38</definedName>
    <definedName name="OSRRefP22_3x_0" localSheetId="68">'322'!$P$31</definedName>
    <definedName name="OSRRefP22_3x_0" localSheetId="69">'325'!$P$38</definedName>
    <definedName name="OSRRefP22_3x_0" localSheetId="58">'326'!$P$58</definedName>
    <definedName name="OSRRefP22_3x_0" localSheetId="51">'330'!$P$53</definedName>
    <definedName name="OSRRefP22_3x_0" localSheetId="56">'331'!$P$95</definedName>
    <definedName name="OSRRefP22_3x_0" localSheetId="59">'332'!$P$48</definedName>
    <definedName name="OSRRefP22_3x_0" localSheetId="74">'405'!$P$40</definedName>
    <definedName name="OSRRefP22_3x_0" localSheetId="75">'406'!$P$26</definedName>
    <definedName name="OSRRefP22_3x_0" localSheetId="76">'411'!$P$36:$P$37</definedName>
    <definedName name="OSRRefP22_3x_0" localSheetId="77">'412'!$P$26</definedName>
    <definedName name="OSRRefP22_3x_0" localSheetId="78">'413'!$P$30</definedName>
    <definedName name="OSRRefP22_3x_0" localSheetId="79">'414'!$P$27</definedName>
    <definedName name="OSRRefP22_3x_0" localSheetId="80">'415'!$P$40</definedName>
    <definedName name="OSRRefP22_3x_0" localSheetId="81">'418'!$P$37</definedName>
    <definedName name="OSRRefP22_3x_0" localSheetId="82">'423'!$P$27</definedName>
    <definedName name="OSRRefP22_3x_0" localSheetId="83">'424'!$P$26</definedName>
    <definedName name="OSRRefP22_3x_0" localSheetId="84">'425'!$P$31</definedName>
    <definedName name="OSRRefP22_3x_0" localSheetId="87">'430'!$P$33</definedName>
    <definedName name="OSRRefP22_3x_0" localSheetId="88">'433'!$P$42</definedName>
    <definedName name="OSRRefP22_3x_0" localSheetId="90">'444'!$P$43</definedName>
    <definedName name="OSRRefP22_3x_0" localSheetId="91">'450'!$P$41</definedName>
    <definedName name="OSRRefP22_3x_0" localSheetId="73">'491'!$P$42</definedName>
    <definedName name="OSRRefP22_3x_0" localSheetId="86">'492'!$P$44</definedName>
    <definedName name="OSRRefP22_3x_0" localSheetId="93">'501'!$P$38</definedName>
    <definedName name="OSRRefP22_3x_0" localSheetId="39">'Div 2'!$P$40</definedName>
    <definedName name="OSRRefP22_3x_0" localSheetId="47">'Div 3'!$P$136</definedName>
    <definedName name="OSRRefP22_3x_0" localSheetId="71">'Div 4'!$P$46</definedName>
    <definedName name="OSRRefP22_3x_0" localSheetId="92">'Div 5'!$P$38</definedName>
    <definedName name="OSRRefP22_3x_0" localSheetId="61">'Div 6'!$P$67</definedName>
    <definedName name="OSRRefP22_3x_0" localSheetId="2">Summary!$P$162</definedName>
    <definedName name="OSRRefP22_4x_0" localSheetId="41">'201'!$P$36</definedName>
    <definedName name="OSRRefP22_4x_0" localSheetId="42">'202'!$P$36:$P$37</definedName>
    <definedName name="OSRRefP22_4x_0" localSheetId="43">'203'!$P$39</definedName>
    <definedName name="OSRRefP22_4x_0" localSheetId="44">'204'!$P$38:$P$40</definedName>
    <definedName name="OSRRefP22_4x_0" localSheetId="45">'205'!$P$36</definedName>
    <definedName name="OSRRefP22_4x_0" localSheetId="46">'206'!$P$36</definedName>
    <definedName name="OSRRefP22_4x_0" localSheetId="48">'300'!$P$134</definedName>
    <definedName name="OSRRefP22_4x_0" localSheetId="49">'300 &amp; 317'!$P$156</definedName>
    <definedName name="OSRRefP22_4x_0" localSheetId="50">'301'!$P$43</definedName>
    <definedName name="OSRRefP22_4x_0" localSheetId="52">'307'!$P$50:$P$51</definedName>
    <definedName name="OSRRefP22_4x_0" localSheetId="53">'308'!$P$76</definedName>
    <definedName name="OSRRefP22_4x_0" localSheetId="64">'310'!$P$47</definedName>
    <definedName name="OSRRefP22_4x_0" localSheetId="72">'310 &amp; 491'!$P$52</definedName>
    <definedName name="OSRRefP22_4x_0" localSheetId="54">'311'!$P$76</definedName>
    <definedName name="OSRRefP22_4x_0" localSheetId="66">'313'!$P$40</definedName>
    <definedName name="OSRRefP22_4x_0" localSheetId="57">'315'!$P$98</definedName>
    <definedName name="OSRRefP22_4x_0" localSheetId="60">'316'!$P$48</definedName>
    <definedName name="OSRRefP22_4x_0" localSheetId="62">'317'!$P$69</definedName>
    <definedName name="OSRRefP22_4x_0" localSheetId="67">'321'!$P$40</definedName>
    <definedName name="OSRRefP22_4x_0" localSheetId="68">'322'!$P$33:$P$34</definedName>
    <definedName name="OSRRefP22_4x_0" localSheetId="69">'325'!$P$40</definedName>
    <definedName name="OSRRefP22_4x_0" localSheetId="58">'326'!$P$60</definedName>
    <definedName name="OSRRefP22_4x_0" localSheetId="51">'330'!$P$55:$P$56</definedName>
    <definedName name="OSRRefP22_4x_0" localSheetId="56">'331'!$P$97</definedName>
    <definedName name="OSRRefP22_4x_0" localSheetId="59">'332'!$P$50</definedName>
    <definedName name="OSRRefP22_4x_0" localSheetId="74">'405'!$P$42</definedName>
    <definedName name="OSRRefP22_4x_0" localSheetId="75">'406'!$P$28</definedName>
    <definedName name="OSRRefP22_4x_0" localSheetId="76">'411'!$P$39</definedName>
    <definedName name="OSRRefP22_4x_0" localSheetId="77">'412'!$P$28</definedName>
    <definedName name="OSRRefP22_4x_0" localSheetId="78">'413'!$P$32</definedName>
    <definedName name="OSRRefP22_4x_0" localSheetId="80">'415'!$P$42</definedName>
    <definedName name="OSRRefP22_4x_0" localSheetId="81">'418'!$P$39:$P$40</definedName>
    <definedName name="OSRRefP22_4x_0" localSheetId="84">'425'!$P$33</definedName>
    <definedName name="OSRRefP22_4x_0" localSheetId="87">'430'!$P$35:$P$36</definedName>
    <definedName name="OSRRefP22_4x_0" localSheetId="88">'433'!$P$44</definedName>
    <definedName name="OSRRefP22_4x_0" localSheetId="90">'444'!$P$45</definedName>
    <definedName name="OSRRefP22_4x_0" localSheetId="91">'450'!$P$43</definedName>
    <definedName name="OSRRefP22_4x_0" localSheetId="73">'491'!$P$44</definedName>
    <definedName name="OSRRefP22_4x_0" localSheetId="86">'492'!$P$46</definedName>
    <definedName name="OSRRefP22_4x_0" localSheetId="93">'501'!$P$40</definedName>
    <definedName name="OSRRefP22_4x_0" localSheetId="39">'Div 2'!$P$42</definedName>
    <definedName name="OSRRefP22_4x_0" localSheetId="47">'Div 3'!$P$138</definedName>
    <definedName name="OSRRefP22_4x_0" localSheetId="71">'Div 4'!$P$48</definedName>
    <definedName name="OSRRefP22_4x_0" localSheetId="92">'Div 5'!$P$40</definedName>
    <definedName name="OSRRefP22_4x_0" localSheetId="61">'Div 6'!$P$69</definedName>
    <definedName name="OSRRefP22_4x_0" localSheetId="2">Summary!$P$164</definedName>
    <definedName name="OSRRefP22_5x_0" localSheetId="41">'201'!$P$38</definedName>
    <definedName name="OSRRefP22_5x_0" localSheetId="42">'202'!$P$39</definedName>
    <definedName name="OSRRefP22_5x_0" localSheetId="43">'203'!$P$41</definedName>
    <definedName name="OSRRefP22_5x_0" localSheetId="44">'204'!$P$42</definedName>
    <definedName name="OSRRefP22_5x_0" localSheetId="45">'205'!$P$38</definedName>
    <definedName name="OSRRefP22_5x_0" localSheetId="46">'206'!$P$38</definedName>
    <definedName name="OSRRefP22_5x_0" localSheetId="48">'300'!$P$136:$P$137</definedName>
    <definedName name="OSRRefP22_5x_0" localSheetId="49">'300 &amp; 317'!$P$158:$P$159</definedName>
    <definedName name="OSRRefP22_5x_0" localSheetId="50">'301'!$P$45:$P$46</definedName>
    <definedName name="OSRRefP22_5x_0" localSheetId="52">'307'!$P$53</definedName>
    <definedName name="OSRRefP22_5x_0" localSheetId="53">'308'!$P$78</definedName>
    <definedName name="OSRRefP22_5x_0" localSheetId="64">'310'!$P$49:$P$50</definedName>
    <definedName name="OSRRefP22_5x_0" localSheetId="72">'310 &amp; 491'!$P$54:$P$55</definedName>
    <definedName name="OSRRefP22_5x_0" localSheetId="54">'311'!$P$78</definedName>
    <definedName name="OSRRefP22_5x_0" localSheetId="66">'313'!$P$42</definedName>
    <definedName name="OSRRefP22_5x_0" localSheetId="57">'315'!$P$100:$P$101</definedName>
    <definedName name="OSRRefP22_5x_0" localSheetId="60">'316'!$P$50:$P$51</definedName>
    <definedName name="OSRRefP22_5x_0" localSheetId="62">'317'!$P$71:$P$72</definedName>
    <definedName name="OSRRefP22_5x_0" localSheetId="67">'321'!$P$42</definedName>
    <definedName name="OSRRefP22_5x_0" localSheetId="68">'322'!$P$36</definedName>
    <definedName name="OSRRefP22_5x_0" localSheetId="69">'325'!$P$42:$P$43</definedName>
    <definedName name="OSRRefP22_5x_0" localSheetId="58">'326'!$P$62</definedName>
    <definedName name="OSRRefP22_5x_0" localSheetId="51">'330'!$P$58:$P$59</definedName>
    <definedName name="OSRRefP22_5x_0" localSheetId="56">'331'!$P$99:$P$100</definedName>
    <definedName name="OSRRefP22_5x_0" localSheetId="59">'332'!$P$52:$P$53</definedName>
    <definedName name="OSRRefP22_5x_0" localSheetId="74">'405'!$P$44:$P$45</definedName>
    <definedName name="OSRRefP22_5x_0" localSheetId="76">'411'!$P$41</definedName>
    <definedName name="OSRRefP22_5x_0" localSheetId="78">'413'!$P$34</definedName>
    <definedName name="OSRRefP22_5x_0" localSheetId="80">'415'!$P$44:$P$45</definedName>
    <definedName name="OSRRefP22_5x_0" localSheetId="81">'418'!$P$42</definedName>
    <definedName name="OSRRefP22_5x_0" localSheetId="87">'430'!$P$38</definedName>
    <definedName name="OSRRefP22_5x_0" localSheetId="88">'433'!$P$46</definedName>
    <definedName name="OSRRefP22_5x_0" localSheetId="90">'444'!$P$47</definedName>
    <definedName name="OSRRefP22_5x_0" localSheetId="91">'450'!$P$45</definedName>
    <definedName name="OSRRefP22_5x_0" localSheetId="73">'491'!$P$46:$P$47</definedName>
    <definedName name="OSRRefP22_5x_0" localSheetId="86">'492'!$P$48</definedName>
    <definedName name="OSRRefP22_5x_0" localSheetId="93">'501'!$P$42</definedName>
    <definedName name="OSRRefP22_5x_0" localSheetId="39">'Div 2'!$P$44</definedName>
    <definedName name="OSRRefP22_5x_0" localSheetId="47">'Div 3'!$P$140:$P$141</definedName>
    <definedName name="OSRRefP22_5x_0" localSheetId="71">'Div 4'!$P$50:$P$51</definedName>
    <definedName name="OSRRefP22_5x_0" localSheetId="92">'Div 5'!$P$42</definedName>
    <definedName name="OSRRefP22_5x_0" localSheetId="61">'Div 6'!$P$71:$P$72</definedName>
    <definedName name="OSRRefP22_5x_0" localSheetId="2">Summary!$P$166:$P$167</definedName>
    <definedName name="OSRRefP22_6x_0" localSheetId="41">'201'!$P$40</definedName>
    <definedName name="OSRRefP22_6x_0" localSheetId="42">'202'!$P$41:$P$43</definedName>
    <definedName name="OSRRefP22_6x_0" localSheetId="43">'203'!$P$43:$P$44</definedName>
    <definedName name="OSRRefP22_6x_0" localSheetId="44">'204'!$P$44:$P$45</definedName>
    <definedName name="OSRRefP22_6x_0" localSheetId="46">'206'!$P$40</definedName>
    <definedName name="OSRRefP22_6x_0" localSheetId="48">'300'!$P$139:$P$140</definedName>
    <definedName name="OSRRefP22_6x_0" localSheetId="49">'300 &amp; 317'!$P$161:$P$162</definedName>
    <definedName name="OSRRefP22_6x_0" localSheetId="50">'301'!$P$48</definedName>
    <definedName name="OSRRefP22_6x_0" localSheetId="52">'307'!$P$55</definedName>
    <definedName name="OSRRefP22_6x_0" localSheetId="53">'308'!$P$80</definedName>
    <definedName name="OSRRefP22_6x_0" localSheetId="64">'310'!$P$52</definedName>
    <definedName name="OSRRefP22_6x_0" localSheetId="72">'310 &amp; 491'!$P$57</definedName>
    <definedName name="OSRRefP22_6x_0" localSheetId="54">'311'!$P$80</definedName>
    <definedName name="OSRRefP22_6x_0" localSheetId="57">'315'!$P$103:$P$104</definedName>
    <definedName name="OSRRefP22_6x_0" localSheetId="60">'316'!$P$53:$P$54</definedName>
    <definedName name="OSRRefP22_6x_0" localSheetId="62">'317'!$P$74</definedName>
    <definedName name="OSRRefP22_6x_0" localSheetId="67">'321'!$P$44:$P$45</definedName>
    <definedName name="OSRRefP22_6x_0" localSheetId="68">'322'!$P$38</definedName>
    <definedName name="OSRRefP22_6x_0" localSheetId="69">'325'!$P$45</definedName>
    <definedName name="OSRRefP22_6x_0" localSheetId="58">'326'!$P$64</definedName>
    <definedName name="OSRRefP22_6x_0" localSheetId="51">'330'!$P$61</definedName>
    <definedName name="OSRRefP22_6x_0" localSheetId="56">'331'!$P$102</definedName>
    <definedName name="OSRRefP22_6x_0" localSheetId="59">'332'!$P$55:$P$56</definedName>
    <definedName name="OSRRefP22_6x_0" localSheetId="74">'405'!$P$47</definedName>
    <definedName name="OSRRefP22_6x_0" localSheetId="76">'411'!$P$43</definedName>
    <definedName name="OSRRefP22_6x_0" localSheetId="80">'415'!$P$47</definedName>
    <definedName name="OSRRefP22_6x_0" localSheetId="81">'418'!$P$44</definedName>
    <definedName name="OSRRefP22_6x_0" localSheetId="87">'430'!$P$40</definedName>
    <definedName name="OSRRefP22_6x_0" localSheetId="88">'433'!$P$48</definedName>
    <definedName name="OSRRefP22_6x_0" localSheetId="90">'444'!$P$49</definedName>
    <definedName name="OSRRefP22_6x_0" localSheetId="91">'450'!$P$47</definedName>
    <definedName name="OSRRefP22_6x_0" localSheetId="73">'491'!$P$49</definedName>
    <definedName name="OSRRefP22_6x_0" localSheetId="86">'492'!$P$50</definedName>
    <definedName name="OSRRefP22_6x_0" localSheetId="93">'501'!$P$44</definedName>
    <definedName name="OSRRefP22_6x_0" localSheetId="39">'Div 2'!$P$46</definedName>
    <definedName name="OSRRefP22_6x_0" localSheetId="47">'Div 3'!$P$143:$P$144</definedName>
    <definedName name="OSRRefP22_6x_0" localSheetId="71">'Div 4'!$P$53</definedName>
    <definedName name="OSRRefP22_6x_0" localSheetId="92">'Div 5'!$P$44</definedName>
    <definedName name="OSRRefP22_6x_0" localSheetId="61">'Div 6'!$P$74</definedName>
    <definedName name="OSRRefP22_6x_0" localSheetId="2">Summary!$P$169:$P$170</definedName>
    <definedName name="OSRRefP22_7x_0" localSheetId="41">'201'!$P$42</definedName>
    <definedName name="OSRRefP22_7x_0" localSheetId="42">'202'!$P$45</definedName>
    <definedName name="OSRRefP22_7x_0" localSheetId="43">'203'!$P$46:$P$47</definedName>
    <definedName name="OSRRefP22_7x_0" localSheetId="48">'300'!$P$142</definedName>
    <definedName name="OSRRefP22_7x_0" localSheetId="49">'300 &amp; 317'!$P$164</definedName>
    <definedName name="OSRRefP22_7x_0" localSheetId="50">'301'!$P$50</definedName>
    <definedName name="OSRRefP22_7x_0" localSheetId="52">'307'!$P$57</definedName>
    <definedName name="OSRRefP22_7x_0" localSheetId="53">'308'!$P$82</definedName>
    <definedName name="OSRRefP22_7x_0" localSheetId="64">'310'!$P$54</definedName>
    <definedName name="OSRRefP22_7x_0" localSheetId="72">'310 &amp; 491'!$P$59</definedName>
    <definedName name="OSRRefP22_7x_0" localSheetId="54">'311'!$P$82</definedName>
    <definedName name="OSRRefP22_7x_0" localSheetId="57">'315'!$P$106:$P$107</definedName>
    <definedName name="OSRRefP22_7x_0" localSheetId="60">'316'!$P$56</definedName>
    <definedName name="OSRRefP22_7x_0" localSheetId="62">'317'!$P$76</definedName>
    <definedName name="OSRRefP22_7x_0" localSheetId="67">'321'!$P$47</definedName>
    <definedName name="OSRRefP22_7x_0" localSheetId="69">'325'!$P$47</definedName>
    <definedName name="OSRRefP22_7x_0" localSheetId="58">'326'!$P$66</definedName>
    <definedName name="OSRRefP22_7x_0" localSheetId="51">'330'!$P$63</definedName>
    <definedName name="OSRRefP22_7x_0" localSheetId="56">'331'!$P$104:$P$105</definedName>
    <definedName name="OSRRefP22_7x_0" localSheetId="59">'332'!$P$58</definedName>
    <definedName name="OSRRefP22_7x_0" localSheetId="74">'405'!$P$49</definedName>
    <definedName name="OSRRefP22_7x_0" localSheetId="76">'411'!$P$45</definedName>
    <definedName name="OSRRefP22_7x_0" localSheetId="80">'415'!$P$49</definedName>
    <definedName name="OSRRefP22_7x_0" localSheetId="81">'418'!$P$46:$P$47</definedName>
    <definedName name="OSRRefP22_7x_0" localSheetId="88">'433'!$P$50</definedName>
    <definedName name="OSRRefP22_7x_0" localSheetId="90">'444'!$P$51</definedName>
    <definedName name="OSRRefP22_7x_0" localSheetId="91">'450'!$P$49</definedName>
    <definedName name="OSRRefP22_7x_0" localSheetId="73">'491'!$P$51</definedName>
    <definedName name="OSRRefP22_7x_0" localSheetId="86">'492'!$P$52</definedName>
    <definedName name="OSRRefP22_7x_0" localSheetId="93">'501'!$P$46</definedName>
    <definedName name="OSRRefP22_7x_0" localSheetId="39">'Div 2'!$P$48</definedName>
    <definedName name="OSRRefP22_7x_0" localSheetId="47">'Div 3'!$P$146</definedName>
    <definedName name="OSRRefP22_7x_0" localSheetId="71">'Div 4'!$P$55</definedName>
    <definedName name="OSRRefP22_7x_0" localSheetId="92">'Div 5'!$P$46</definedName>
    <definedName name="OSRRefP22_7x_0" localSheetId="61">'Div 6'!$P$76</definedName>
    <definedName name="OSRRefP22_7x_0" localSheetId="2">Summary!$P$172</definedName>
    <definedName name="OSRRefP22_8x_0" localSheetId="41">'201'!$P$44:$P$45</definedName>
    <definedName name="OSRRefP22_8x_0" localSheetId="42">'202'!$P$47:$P$48</definedName>
    <definedName name="OSRRefP22_8x_0" localSheetId="43">'203'!$P$49</definedName>
    <definedName name="OSRRefP22_8x_0" localSheetId="48">'300'!$P$144</definedName>
    <definedName name="OSRRefP22_8x_0" localSheetId="49">'300 &amp; 317'!$P$166</definedName>
    <definedName name="OSRRefP22_8x_0" localSheetId="50">'301'!$P$52</definedName>
    <definedName name="OSRRefP22_8x_0" localSheetId="52">'307'!$P$59:$P$60</definedName>
    <definedName name="OSRRefP22_8x_0" localSheetId="53">'308'!$P$84</definedName>
    <definedName name="OSRRefP22_8x_0" localSheetId="64">'310'!$P$56</definedName>
    <definedName name="OSRRefP22_8x_0" localSheetId="72">'310 &amp; 491'!$P$61</definedName>
    <definedName name="OSRRefP22_8x_0" localSheetId="54">'311'!$P$84</definedName>
    <definedName name="OSRRefP22_8x_0" localSheetId="57">'315'!$P$109:$P$110</definedName>
    <definedName name="OSRRefP22_8x_0" localSheetId="60">'316'!$P$58:$P$62</definedName>
    <definedName name="OSRRefP22_8x_0" localSheetId="62">'317'!$P$78:$P$80</definedName>
    <definedName name="OSRRefP22_8x_0" localSheetId="67">'321'!$P$49:$P$52</definedName>
    <definedName name="OSRRefP22_8x_0" localSheetId="69">'325'!$P$49</definedName>
    <definedName name="OSRRefP22_8x_0" localSheetId="58">'326'!$P$68</definedName>
    <definedName name="OSRRefP22_8x_0" localSheetId="51">'330'!$P$65:$P$66</definedName>
    <definedName name="OSRRefP22_8x_0" localSheetId="56">'331'!$P$107</definedName>
    <definedName name="OSRRefP22_8x_0" localSheetId="59">'332'!$P$60:$P$64</definedName>
    <definedName name="OSRRefP22_8x_0" localSheetId="74">'405'!$P$51:$P$52</definedName>
    <definedName name="OSRRefP22_8x_0" localSheetId="76">'411'!$P$47:$P$49</definedName>
    <definedName name="OSRRefP22_8x_0" localSheetId="80">'415'!$P$51</definedName>
    <definedName name="OSRRefP22_8x_0" localSheetId="81">'418'!$P$49</definedName>
    <definedName name="OSRRefP22_8x_0" localSheetId="88">'433'!$P$52</definedName>
    <definedName name="OSRRefP22_8x_0" localSheetId="90">'444'!$P$53</definedName>
    <definedName name="OSRRefP22_8x_0" localSheetId="91">'450'!$P$51</definedName>
    <definedName name="OSRRefP22_8x_0" localSheetId="73">'491'!$P$53</definedName>
    <definedName name="OSRRefP22_8x_0" localSheetId="86">'492'!$P$54</definedName>
    <definedName name="OSRRefP22_8x_0" localSheetId="93">'501'!$P$48</definedName>
    <definedName name="OSRRefP22_8x_0" localSheetId="39">'Div 2'!$P$50:$P$51</definedName>
    <definedName name="OSRRefP22_8x_0" localSheetId="47">'Div 3'!$P$148</definedName>
    <definedName name="OSRRefP22_8x_0" localSheetId="71">'Div 4'!$P$57</definedName>
    <definedName name="OSRRefP22_8x_0" localSheetId="92">'Div 5'!$P$48</definedName>
    <definedName name="OSRRefP22_8x_0" localSheetId="61">'Div 6'!$P$78:$P$80</definedName>
    <definedName name="OSRRefP22_8x_0" localSheetId="2">Summary!$P$174</definedName>
    <definedName name="OSRRefP22_9x_0" localSheetId="41">'201'!$P$47</definedName>
    <definedName name="OSRRefP22_9x_0" localSheetId="42">'202'!$P$50</definedName>
    <definedName name="OSRRefP22_9x_0" localSheetId="43">'203'!$P$51:$P$54</definedName>
    <definedName name="OSRRefP22_9x_0" localSheetId="48">'300'!$P$146:$P$147</definedName>
    <definedName name="OSRRefP22_9x_0" localSheetId="49">'300 &amp; 317'!$P$168:$P$169</definedName>
    <definedName name="OSRRefP22_9x_0" localSheetId="50">'301'!$P$54</definedName>
    <definedName name="OSRRefP22_9x_0" localSheetId="52">'307'!$P$62:$P$63</definedName>
    <definedName name="OSRRefP22_9x_0" localSheetId="53">'308'!$P$86:$P$87</definedName>
    <definedName name="OSRRefP22_9x_0" localSheetId="64">'310'!$P$58</definedName>
    <definedName name="OSRRefP22_9x_0" localSheetId="72">'310 &amp; 491'!$P$63</definedName>
    <definedName name="OSRRefP22_9x_0" localSheetId="54">'311'!$P$86:$P$87</definedName>
    <definedName name="OSRRefP22_9x_0" localSheetId="57">'315'!$P$112:$P$114</definedName>
    <definedName name="OSRRefP22_9x_0" localSheetId="60">'316'!$P$64</definedName>
    <definedName name="OSRRefP22_9x_0" localSheetId="62">'317'!$P$82</definedName>
    <definedName name="OSRRefP22_9x_0" localSheetId="67">'321'!$P$54</definedName>
    <definedName name="OSRRefP22_9x_0" localSheetId="69">'325'!$P$51:$P$52</definedName>
    <definedName name="OSRRefP22_9x_0" localSheetId="58">'326'!$P$70</definedName>
    <definedName name="OSRRefP22_9x_0" localSheetId="51">'330'!$P$68:$P$69</definedName>
    <definedName name="OSRRefP22_9x_0" localSheetId="56">'331'!$P$109:$P$110</definedName>
    <definedName name="OSRRefP22_9x_0" localSheetId="59">'332'!$P$66</definedName>
    <definedName name="OSRRefP22_9x_0" localSheetId="74">'405'!$P$54:$P$56</definedName>
    <definedName name="OSRRefP22_9x_0" localSheetId="76">'411'!$P$51:$P$52</definedName>
    <definedName name="OSRRefP22_9x_0" localSheetId="80">'415'!$P$53</definedName>
    <definedName name="OSRRefP22_9x_0" localSheetId="81">'418'!$P$51:$P$53</definedName>
    <definedName name="OSRRefP22_9x_0" localSheetId="88">'433'!$P$54</definedName>
    <definedName name="OSRRefP22_9x_0" localSheetId="90">'444'!$P$55</definedName>
    <definedName name="OSRRefP22_9x_0" localSheetId="91">'450'!$P$53</definedName>
    <definedName name="OSRRefP22_9x_0" localSheetId="73">'491'!$P$55</definedName>
    <definedName name="OSRRefP22_9x_0" localSheetId="86">'492'!$P$56</definedName>
    <definedName name="OSRRefP22_9x_0" localSheetId="93">'501'!$P$50</definedName>
    <definedName name="OSRRefP22_9x_0" localSheetId="39">'Div 2'!$P$53</definedName>
    <definedName name="OSRRefP22_9x_0" localSheetId="47">'Div 3'!$P$150:$P$151</definedName>
    <definedName name="OSRRefP22_9x_0" localSheetId="71">'Div 4'!$P$59</definedName>
    <definedName name="OSRRefP22_9x_0" localSheetId="92">'Div 5'!$P$50</definedName>
    <definedName name="OSRRefP22_9x_0" localSheetId="61">'Div 6'!$P$82</definedName>
    <definedName name="OSRRefP22_9x_0" localSheetId="2">Summary!$P$176</definedName>
    <definedName name="OSRRefP22x_0" localSheetId="40">'200'!$P$20,'200'!$P$22,'200'!$P$24,'200'!$P$26</definedName>
    <definedName name="OSRRefP22x_0" localSheetId="41">'201'!$P$20:$P$27,'201'!$P$29:$P$30,'201'!$P$32,'201'!$P$34,'201'!$P$36,'201'!$P$38,'201'!$P$40,'201'!$P$42,'201'!$P$44:$P$45,'201'!$P$47,'201'!$P$49:$P$50,'201'!$P$52</definedName>
    <definedName name="OSRRefP22x_0" localSheetId="42">'202'!$P$20:$P$27,'202'!$P$29:$P$30,'202'!$P$32,'202'!$P$34,'202'!$P$36:$P$37,'202'!$P$39,'202'!$P$41:$P$43,'202'!$P$45,'202'!$P$47:$P$48,'202'!$P$50,'202'!$P$52,'202'!$P$54</definedName>
    <definedName name="OSRRefP22x_0" localSheetId="43">'203'!$P$20:$P$28,'203'!$P$30:$P$33,'203'!$P$35,'203'!$P$37,'203'!$P$39,'203'!$P$41,'203'!$P$43:$P$44,'203'!$P$46:$P$47,'203'!$P$49,'203'!$P$51:$P$54,'203'!$P$56</definedName>
    <definedName name="OSRRefP22x_0" localSheetId="44">'204'!$P$20:$P$28,'204'!$P$30:$P$32,'204'!$P$34,'204'!$P$36,'204'!$P$38:$P$40,'204'!$P$42,'204'!$P$44:$P$45</definedName>
    <definedName name="OSRRefP22x_0" localSheetId="45">'205'!$P$20:$P$27,'205'!$P$29,'205'!$P$31,'205'!$P$33:$P$34,'205'!$P$36,'205'!$P$38</definedName>
    <definedName name="OSRRefP22x_0" localSheetId="46">'206'!$P$20:$P$26,'206'!$P$28:$P$30,'206'!$P$32,'206'!$P$34,'206'!$P$36,'206'!$P$38,'206'!$P$40</definedName>
    <definedName name="OSRRefP22x_0" localSheetId="48">'300'!$P$111:$P$120,'300'!$P$122:$P$128,'300'!$P$130,'300'!$P$132,'300'!$P$134,'300'!$P$136:$P$137,'300'!$P$139:$P$140,'300'!$P$142,'300'!$P$144,'300'!$P$146:$P$147,'300'!$P$149,'300'!$P$151,'300'!$P$153:$P$154,'300'!$P$156,'300'!$P$158:$P$161,'300'!$P$163:$P$165,'300'!$P$167:$P$170,'300'!$P$172:$P$173,'300'!$P$175:$P$180,'300'!$P$182:$P$183,'300'!$P$185,'300'!$P$187:$P$189,'300'!$P$191</definedName>
    <definedName name="OSRRefP22x_0" localSheetId="49">'300 &amp; 317'!$P$133:$P$142,'300 &amp; 317'!$P$144:$P$150,'300 &amp; 317'!$P$152,'300 &amp; 317'!$P$154,'300 &amp; 317'!$P$156,'300 &amp; 317'!$P$158:$P$159,'300 &amp; 317'!$P$161:$P$162,'300 &amp; 317'!$P$164,'300 &amp; 317'!$P$166,'300 &amp; 317'!$P$168:$P$169,'300 &amp; 317'!$P$171,'300 &amp; 317'!$P$173,'300 &amp; 317'!$P$175:$P$176,'300 &amp; 317'!$P$178,'300 &amp; 317'!$P$180:$P$183,'300 &amp; 317'!$P$185:$P$187,'300 &amp; 317'!$P$189:$P$192,'300 &amp; 317'!$P$194:$P$195,'300 &amp; 317'!$P$197:$P$202,'300 &amp; 317'!$P$204:$P$205,'300 &amp; 317'!$P$207,'300 &amp; 317'!$P$209:$P$211,'300 &amp; 317'!$P$213</definedName>
    <definedName name="OSRRefP22x_0" localSheetId="50">'301'!$P$20:$P$29,'301'!$P$31:$P$37,'301'!$P$39,'301'!$P$41,'301'!$P$43,'301'!$P$45:$P$46,'301'!$P$48,'301'!$P$50,'301'!$P$52,'301'!$P$54,'301'!$P$56,'301'!$P$58,'301'!$P$60,'301'!$P$62:$P$65,'301'!$P$67:$P$69,'301'!$P$71:$P$75,'301'!$P$77,'301'!$P$79,'301'!$P$81:$P$82,'301'!$P$84</definedName>
    <definedName name="OSRRefP22x_0" localSheetId="52">'307'!$P$39:$P$41,'307'!$P$43:$P$44,'307'!$P$46,'307'!$P$48,'307'!$P$50:$P$51,'307'!$P$53,'307'!$P$55,'307'!$P$57,'307'!$P$59:$P$60,'307'!$P$62:$P$63,'307'!$P$65:$P$67,'307'!$P$69</definedName>
    <definedName name="OSRRefP22x_0" localSheetId="53">'308'!$P$54:$P$62,'308'!$P$64:$P$70,'308'!$P$72,'308'!$P$74,'308'!$P$76,'308'!$P$78,'308'!$P$80,'308'!$P$82,'308'!$P$84,'308'!$P$86:$P$87,'308'!$P$89,'308'!$P$91:$P$92,'308'!$P$94:$P$95,'308'!$P$97</definedName>
    <definedName name="OSRRefP22x_0" localSheetId="65">'309'!$P$20,'309'!$P$22:$P$23,'309'!$P$25:$P$26,'309'!$P$28</definedName>
    <definedName name="OSRRefP22x_0" localSheetId="64">'310'!$P$30:$P$37,'310'!$P$39:$P$41,'310'!$P$43,'310'!$P$45,'310'!$P$47,'310'!$P$49:$P$50,'310'!$P$52,'310'!$P$54,'310'!$P$56,'310'!$P$58,'310'!$P$60:$P$61,'310'!$P$63:$P$65,'310'!$P$67:$P$70,'310'!$P$72,'310'!$P$74</definedName>
    <definedName name="OSRRefP22x_0" localSheetId="72">'310 &amp; 491'!$P$33:$P$40,'310 &amp; 491'!$P$42:$P$46,'310 &amp; 491'!$P$48,'310 &amp; 491'!$P$50,'310 &amp; 491'!$P$52,'310 &amp; 491'!$P$54:$P$55,'310 &amp; 491'!$P$57,'310 &amp; 491'!$P$59,'310 &amp; 491'!$P$61,'310 &amp; 491'!$P$63,'310 &amp; 491'!$P$65,'310 &amp; 491'!$P$67,'310 &amp; 491'!$P$69,'310 &amp; 491'!$P$71:$P$73,'310 &amp; 491'!$P$75:$P$78,'310 &amp; 491'!$P$80,'310 &amp; 491'!$P$82:$P$88,'310 &amp; 491'!$P$90,'310 &amp; 491'!$P$92,'310 &amp; 491'!$P$94</definedName>
    <definedName name="OSRRefP22x_0" localSheetId="54">'311'!$P$54:$P$62,'311'!$P$64:$P$70,'311'!$P$72,'311'!$P$74,'311'!$P$76,'311'!$P$78,'311'!$P$80,'311'!$P$82,'311'!$P$84,'311'!$P$86:$P$87,'311'!$P$89,'311'!$P$91:$P$92,'311'!$P$94:$P$95,'311'!$P$97</definedName>
    <definedName name="OSRRefP22x_0" localSheetId="66">'313'!$P$25:$P$32,'313'!$P$34,'313'!$P$36,'313'!$P$38,'313'!$P$40,'313'!$P$42</definedName>
    <definedName name="OSRRefP22x_0" localSheetId="57">'315'!$P$78:$P$85,'315'!$P$87:$P$91,'315'!$P$93,'315'!$P$95:$P$96,'315'!$P$98,'315'!$P$100:$P$101,'315'!$P$103:$P$104,'315'!$P$106:$P$107,'315'!$P$109:$P$110,'315'!$P$112:$P$114,'315'!$P$116,'315'!$P$118</definedName>
    <definedName name="OSRRefP22x_0" localSheetId="60">'316'!$P$31:$P$38,'316'!$P$40:$P$42,'316'!$P$44,'316'!$P$46,'316'!$P$48,'316'!$P$50:$P$51,'316'!$P$53:$P$54,'316'!$P$56,'316'!$P$58:$P$62,'316'!$P$64,'316'!$P$66</definedName>
    <definedName name="OSRRefP22x_0" localSheetId="62">'317'!$P$50:$P$58,'317'!$P$60:$P$63,'317'!$P$65,'317'!$P$67,'317'!$P$69,'317'!$P$71:$P$72,'317'!$P$74,'317'!$P$76,'317'!$P$78:$P$80,'317'!$P$82</definedName>
    <definedName name="OSRRefP22x_0" localSheetId="63">'320'!$P$22:$P$23,'320'!$P$25,'320'!$P$27</definedName>
    <definedName name="OSRRefP22x_0" localSheetId="67">'321'!$P$23:$P$30,'321'!$P$32:$P$34,'321'!$P$36,'321'!$P$38,'321'!$P$40,'321'!$P$42,'321'!$P$44:$P$45,'321'!$P$47,'321'!$P$49:$P$52,'321'!$P$54,'321'!$P$56</definedName>
    <definedName name="OSRRefP22x_0" localSheetId="68">'322'!$P$21:$P$25,'322'!$P$27,'322'!$P$29,'322'!$P$31,'322'!$P$33:$P$34,'322'!$P$36,'322'!$P$38</definedName>
    <definedName name="OSRRefP22x_0" localSheetId="69">'325'!$P$24:$P$30,'325'!$P$32:$P$34,'325'!$P$36,'325'!$P$38,'325'!$P$40,'325'!$P$42:$P$43,'325'!$P$45,'325'!$P$47,'325'!$P$49,'325'!$P$51:$P$52,'325'!$P$54:$P$56,'325'!$P$58:$P$60,'325'!$P$62,'325'!$P$64</definedName>
    <definedName name="OSRRefP22x_0" localSheetId="58">'326'!$P$41:$P$48,'326'!$P$50:$P$54,'326'!$P$56,'326'!$P$58,'326'!$P$60,'326'!$P$62,'326'!$P$64,'326'!$P$66,'326'!$P$68,'326'!$P$70,'326'!$P$72:$P$73,'326'!$P$75,'326'!$P$77:$P$79,'326'!$P$81,'326'!$P$83,'326'!$P$85</definedName>
    <definedName name="OSRRefP22x_0" localSheetId="51">'330'!$P$43:$P$46,'330'!$P$48:$P$49,'330'!$P$51,'330'!$P$53,'330'!$P$55:$P$56,'330'!$P$58:$P$59,'330'!$P$61,'330'!$P$63,'330'!$P$65:$P$66,'330'!$P$68:$P$69,'330'!$P$71:$P$73,'330'!$P$75</definedName>
    <definedName name="OSRRefP22x_0" localSheetId="56">'331'!$P$78:$P$85,'331'!$P$87:$P$91,'331'!$P$93,'331'!$P$95,'331'!$P$97,'331'!$P$99:$P$100,'331'!$P$102,'331'!$P$104:$P$105,'331'!$P$107,'331'!$P$109:$P$110,'331'!$P$112,'331'!$P$114:$P$115,'331'!$P$117:$P$118,'331'!$P$120:$P$121,'331'!$P$123,'331'!$P$125:$P$128,'331'!$P$130,'331'!$P$132,'331'!$P$134</definedName>
    <definedName name="OSRRefP22x_0" localSheetId="59">'332'!$P$33:$P$40,'332'!$P$42:$P$44,'332'!$P$46,'332'!$P$48,'332'!$P$50,'332'!$P$52:$P$53,'332'!$P$55:$P$56,'332'!$P$58,'332'!$P$60:$P$64,'332'!$P$66,'332'!$P$68</definedName>
    <definedName name="OSRRefP22x_0" localSheetId="74">'405'!$P$24:$P$31,'405'!$P$33:$P$36,'405'!$P$38,'405'!$P$40,'405'!$P$42,'405'!$P$44:$P$45,'405'!$P$47,'405'!$P$49,'405'!$P$51:$P$52,'405'!$P$54:$P$56,'405'!$P$58,'405'!$P$60</definedName>
    <definedName name="OSRRefP22x_0" localSheetId="75">'406'!$P$20,'406'!$P$22,'406'!$P$24,'406'!$P$26,'406'!$P$28</definedName>
    <definedName name="OSRRefP22x_0" localSheetId="76">'411'!$P$20:$P$27,'411'!$P$29:$P$32,'411'!$P$34,'411'!$P$36:$P$37,'411'!$P$39,'411'!$P$41,'411'!$P$43,'411'!$P$45,'411'!$P$47:$P$49,'411'!$P$51:$P$52,'411'!$P$54,'411'!$P$56,'411'!$P$58,'411'!$P$60</definedName>
    <definedName name="OSRRefP22x_0" localSheetId="77">'412'!$P$20,'412'!$P$22,'412'!$P$24,'412'!$P$26,'412'!$P$28</definedName>
    <definedName name="OSRRefP22x_0" localSheetId="78">'413'!$P$20:$P$24,'413'!$P$26,'413'!$P$28,'413'!$P$30,'413'!$P$32,'413'!$P$34</definedName>
    <definedName name="OSRRefP22x_0" localSheetId="79">'414'!$P$21,'414'!$P$23,'414'!$P$25,'414'!$P$27</definedName>
    <definedName name="OSRRefP22x_0" localSheetId="80">'415'!$P$24:$P$31,'415'!$P$33:$P$36,'415'!$P$38,'415'!$P$40,'415'!$P$42,'415'!$P$44:$P$45,'415'!$P$47,'415'!$P$49,'415'!$P$51,'415'!$P$53,'415'!$P$55:$P$56,'415'!$P$58:$P$61,'415'!$P$63,'415'!$P$65:$P$70,'415'!$P$72,'415'!$P$74</definedName>
    <definedName name="OSRRefP22x_0" localSheetId="81">'418'!$P$21:$P$28,'418'!$P$30:$P$33,'418'!$P$35,'418'!$P$37,'418'!$P$39:$P$40,'418'!$P$42,'418'!$P$44,'418'!$P$46:$P$47,'418'!$P$49,'418'!$P$51:$P$53,'418'!$P$55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'425'!$P$21:$P$25,'425'!$P$27,'425'!$P$29,'425'!$P$31,'425'!$P$33</definedName>
    <definedName name="OSRRefP22x_0" localSheetId="87">'430'!$P$20:$P$27,'430'!$P$29,'430'!$P$31,'430'!$P$33,'430'!$P$35:$P$36,'430'!$P$38,'430'!$P$40</definedName>
    <definedName name="OSRRefP22x_0" localSheetId="88">'433'!$P$25:$P$33,'433'!$P$35:$P$38,'433'!$P$40,'433'!$P$42,'433'!$P$44,'433'!$P$46,'433'!$P$48,'433'!$P$50,'433'!$P$52,'433'!$P$54,'433'!$P$56,'433'!$P$58:$P$60,'433'!$P$62:$P$66,'433'!$P$68</definedName>
    <definedName name="OSRRefP22x_0" localSheetId="89">'435'!$P$20</definedName>
    <definedName name="OSRRefP22x_0" localSheetId="90">'444'!$P$25:$P$33,'444'!$P$35:$P$39,'444'!$P$41,'444'!$P$43,'444'!$P$45,'444'!$P$47,'444'!$P$49,'444'!$P$51,'444'!$P$53,'444'!$P$55,'444'!$P$57:$P$58,'444'!$P$60:$P$62,'444'!$P$64:$P$69,'444'!$P$71,'444'!$P$73</definedName>
    <definedName name="OSRRefP22x_0" localSheetId="91">'450'!$P$24:$P$32,'450'!$P$34:$P$37,'450'!$P$39,'450'!$P$41,'450'!$P$43,'450'!$P$45,'450'!$P$47,'450'!$P$49,'450'!$P$51,'450'!$P$53,'450'!$P$55:$P$56,'450'!$P$58:$P$61,'450'!$P$63</definedName>
    <definedName name="OSRRefP22x_0" localSheetId="73">'491'!$P$25:$P$32,'491'!$P$34:$P$38,'491'!$P$40,'491'!$P$42,'491'!$P$44,'491'!$P$46:$P$47,'491'!$P$49,'491'!$P$51,'491'!$P$53,'491'!$P$55,'491'!$P$57,'491'!$P$59,'491'!$P$61:$P$63,'491'!$P$65:$P$68,'491'!$P$70,'491'!$P$72:$P$78,'491'!$P$80,'491'!$P$82,'491'!$P$84</definedName>
    <definedName name="OSRRefP22x_0" localSheetId="86">'492'!$P$25:$P$33,'492'!$P$35:$P$40,'492'!$P$42,'492'!$P$44,'492'!$P$46,'492'!$P$48,'492'!$P$50,'492'!$P$52,'492'!$P$54,'492'!$P$56,'492'!$P$58,'492'!$P$60:$P$62,'492'!$P$64:$P$66,'492'!$P$68:$P$73,'492'!$P$75,'492'!$P$77,'492'!$P$79</definedName>
    <definedName name="OSRRefP22x_0" localSheetId="93">'501'!$P$21:$P$28,'501'!$P$30:$P$34,'501'!$P$36,'501'!$P$38,'501'!$P$40,'501'!$P$42,'501'!$P$44,'501'!$P$46,'501'!$P$48,'501'!$P$50</definedName>
    <definedName name="OSRRefP22x_0" localSheetId="39">'Div 2'!$P$20:$P$29,'Div 2'!$P$31:$P$36,'Div 2'!$P$38,'Div 2'!$P$40,'Div 2'!$P$42,'Div 2'!$P$44,'Div 2'!$P$46,'Div 2'!$P$48,'Div 2'!$P$50:$P$51,'Div 2'!$P$53,'Div 2'!$P$55,'Div 2'!$P$57:$P$59,'Div 2'!$P$61:$P$63,'Div 2'!$P$65,'Div 2'!$P$67,'Div 2'!$P$69:$P$73,'Div 2'!$P$75:$P$76,'Div 2'!$P$78,'Div 2'!$P$80</definedName>
    <definedName name="OSRRefP22x_0" localSheetId="47">'Div 3'!$P$115:$P$124,'Div 3'!$P$126:$P$132,'Div 3'!$P$134,'Div 3'!$P$136,'Div 3'!$P$138,'Div 3'!$P$140:$P$141,'Div 3'!$P$143:$P$144,'Div 3'!$P$146,'Div 3'!$P$148,'Div 3'!$P$150:$P$151,'Div 3'!$P$153,'Div 3'!$P$155,'Div 3'!$P$157,'Div 3'!$P$159:$P$160,'Div 3'!$P$162,'Div 3'!$P$164:$P$167,'Div 3'!$P$169:$P$171,'Div 3'!$P$173:$P$177,'Div 3'!$P$179:$P$180,'Div 3'!$P$182:$P$187,'Div 3'!$P$189:$P$190,'Div 3'!$P$192,'Div 3'!$P$194:$P$196,'Div 3'!$P$198</definedName>
    <definedName name="OSRRefP22x_0" localSheetId="71">'Div 4'!$P$27:$P$35,'Div 4'!$P$37:$P$42,'Div 4'!$P$44,'Div 4'!$P$46,'Div 4'!$P$48,'Div 4'!$P$50:$P$51,'Div 4'!$P$53,'Div 4'!$P$55,'Div 4'!$P$57,'Div 4'!$P$59,'Div 4'!$P$61,'Div 4'!$P$63,'Div 4'!$P$65,'Div 4'!$P$67,'Div 4'!$P$69:$P$71,'Div 4'!$P$73:$P$76,'Div 4'!$P$78,'Div 4'!$P$80:$P$87,'Div 4'!$P$89,'Div 4'!$P$91,'Div 4'!$P$93:$P$94,'Div 4'!$P$96</definedName>
    <definedName name="OSRRefP22x_0" localSheetId="92">'Div 5'!$P$21:$P$28,'Div 5'!$P$30:$P$34,'Div 5'!$P$36,'Div 5'!$P$38,'Div 5'!$P$40,'Div 5'!$P$42,'Div 5'!$P$44,'Div 5'!$P$46,'Div 5'!$P$48,'Div 5'!$P$50</definedName>
    <definedName name="OSRRefP22x_0" localSheetId="61">'Div 6'!$P$50:$P$58,'Div 6'!$P$60:$P$63,'Div 6'!$P$65,'Div 6'!$P$67,'Div 6'!$P$69,'Div 6'!$P$71:$P$72,'Div 6'!$P$74,'Div 6'!$P$76,'Div 6'!$P$78:$P$80,'Div 6'!$P$82</definedName>
    <definedName name="OSRRefP22x_0" localSheetId="2">Summary!$P$141:$P$150,Summary!$P$152:$P$158,Summary!$P$160,Summary!$P$162,Summary!$P$164,Summary!$P$166:$P$167,Summary!$P$169:$P$170,Summary!$P$172,Summary!$P$174,Summary!$P$176,Summary!$P$178:$P$179,Summary!$P$181,Summary!$P$183,Summary!$P$185,Summary!$P$187:$P$188,Summary!$P$190,Summary!$P$192,Summary!$P$194:$P$197,Summary!$P$199:$P$201,Summary!$P$203:$P$207,Summary!$P$209:$P$210,Summary!$P$212:$P$220,Summary!$P$222:$P$223,Summary!$P$225,Summary!$P$227:$P$229,Summary!$P$231</definedName>
    <definedName name="OSRRefP25x_0" localSheetId="48">'300'!$P$194:$P$197</definedName>
    <definedName name="OSRRefP25x_0" localSheetId="49">'300 &amp; 317'!$P$216:$P$221</definedName>
    <definedName name="OSRRefP25x_0" localSheetId="50">'301'!$P$87</definedName>
    <definedName name="OSRRefP25x_0" localSheetId="53">'308'!$P$100:$P$102</definedName>
    <definedName name="OSRRefP25x_0" localSheetId="72">'310 &amp; 491'!$P$97:$P$99</definedName>
    <definedName name="OSRRefP25x_0" localSheetId="54">'311'!$P$100:$P$102</definedName>
    <definedName name="OSRRefP25x_0" localSheetId="57">'315'!$P$121:$P$122</definedName>
    <definedName name="OSRRefP25x_0" localSheetId="60">'316'!$P$69</definedName>
    <definedName name="OSRRefP25x_0" localSheetId="62">'317'!$P$85:$P$87</definedName>
    <definedName name="OSRRefP25x_0" localSheetId="63">'320'!$P$30</definedName>
    <definedName name="OSRRefP25x_0" localSheetId="56">'331'!$P$137:$P$138</definedName>
    <definedName name="OSRRefP25x_0" localSheetId="59">'332'!$P$71:$P$72</definedName>
    <definedName name="OSRRefP25x_0" localSheetId="76">'411'!$P$63:$P$64</definedName>
    <definedName name="OSRRefP25x_0" localSheetId="80">'415'!$P$77</definedName>
    <definedName name="OSRRefP25x_0" localSheetId="81">'418'!$P$58</definedName>
    <definedName name="OSRRefP25x_0" localSheetId="85">'455'!$P$21:$P$22</definedName>
    <definedName name="OSRRefP25x_0" localSheetId="73">'491'!$P$87:$P$89</definedName>
    <definedName name="OSRRefP25x_0" localSheetId="93">'501'!$P$53</definedName>
    <definedName name="OSRRefP25x_0" localSheetId="47">'Div 3'!$P$201:$P$204</definedName>
    <definedName name="OSRRefP25x_0" localSheetId="71">'Div 4'!$P$99:$P$101</definedName>
    <definedName name="OSRRefP25x_0" localSheetId="92">'Div 5'!$P$53</definedName>
    <definedName name="OSRRefP25x_0" localSheetId="61">'Div 6'!$P$85:$P$87</definedName>
    <definedName name="OSRRefP25x_0" localSheetId="2">Summary!$P$234:$P$241</definedName>
    <definedName name="OSRRefT13x_0" localSheetId="48">'300'!$T$13:$T$71</definedName>
    <definedName name="OSRRefT13x_0" localSheetId="49">'300 &amp; 317'!$T$13:$T$86</definedName>
    <definedName name="OSRRefT13x_0" localSheetId="52">'307'!$T$13:$T$21</definedName>
    <definedName name="OSRRefT13x_0" localSheetId="53">'308'!$T$13:$T$33</definedName>
    <definedName name="OSRRefT13x_0" localSheetId="64">'310'!$T$13:$T$20</definedName>
    <definedName name="OSRRefT13x_0" localSheetId="72">'310 &amp; 491'!$T$13:$T$23</definedName>
    <definedName name="OSRRefT13x_0" localSheetId="54">'311'!$T$13:$T$33</definedName>
    <definedName name="OSRRefT13x_0" localSheetId="66">'313'!$T$13:$T$16</definedName>
    <definedName name="OSRRefT13x_0" localSheetId="57">'315'!$T$13:$T$51</definedName>
    <definedName name="OSRRefT13x_0" localSheetId="60">'316'!$T$13:$T$23</definedName>
    <definedName name="OSRRefT13x_0" localSheetId="62">'317'!$T$13:$T$31</definedName>
    <definedName name="OSRRefT13x_0" localSheetId="67">'321'!$T$13:$T$14</definedName>
    <definedName name="OSRRefT13x_0" localSheetId="55">'324'!$T$13:$T$16</definedName>
    <definedName name="OSRRefT13x_0" localSheetId="69">'325'!$T$13:$T$14</definedName>
    <definedName name="OSRRefT13x_0" localSheetId="58">'326'!$T$13:$T$31</definedName>
    <definedName name="OSRRefT13x_0" localSheetId="70">'327'!$T$13</definedName>
    <definedName name="OSRRefT13x_0" localSheetId="51">'330'!$T$13:$T$25</definedName>
    <definedName name="OSRRefT13x_0" localSheetId="56">'331'!$T$13:$T$51</definedName>
    <definedName name="OSRRefT13x_0" localSheetId="59">'332'!$T$13:$T$23</definedName>
    <definedName name="OSRRefT13x_0" localSheetId="74">'405'!$T$13:$T$14</definedName>
    <definedName name="OSRRefT13x_0" localSheetId="79">'414'!$T$13</definedName>
    <definedName name="OSRRefT13x_0" localSheetId="80">'415'!$T$13:$T$14</definedName>
    <definedName name="OSRRefT13x_0" localSheetId="88">'433'!$T$13:$T$15</definedName>
    <definedName name="OSRRefT13x_0" localSheetId="90">'444'!$T$13:$T$15</definedName>
    <definedName name="OSRRefT13x_0" localSheetId="91">'450'!$T$13:$T$14</definedName>
    <definedName name="OSRRefT13x_0" localSheetId="73">'491'!$T$13:$T$15</definedName>
    <definedName name="OSRRefT13x_0" localSheetId="86">'492'!$T$13:$T$15</definedName>
    <definedName name="OSRRefT13x_0" localSheetId="93">'501'!$T$13</definedName>
    <definedName name="OSRRefT13x_0" localSheetId="47">'Div 3'!$T$13:$T$73</definedName>
    <definedName name="OSRRefT13x_0" localSheetId="71">'Div 4'!$T$13:$T$17</definedName>
    <definedName name="OSRRefT13x_0" localSheetId="92">'Div 5'!$T$13</definedName>
    <definedName name="OSRRefT13x_0" localSheetId="61">'Div 6'!$T$13:$T$31</definedName>
    <definedName name="OSRRefT13x_0" localSheetId="2">Summary!$T$13:$T$92</definedName>
    <definedName name="OSRRefT16x_0" localSheetId="48">'300'!$T$74:$T$105</definedName>
    <definedName name="OSRRefT16x_0" localSheetId="49">'300 &amp; 317'!$T$89:$T$127</definedName>
    <definedName name="OSRRefT16x_0" localSheetId="52">'307'!$T$24:$T$33</definedName>
    <definedName name="OSRRefT16x_0" localSheetId="53">'308'!$T$36:$T$48</definedName>
    <definedName name="OSRRefT16x_0" localSheetId="64">'310'!$T$23:$T$24</definedName>
    <definedName name="OSRRefT16x_0" localSheetId="72">'310 &amp; 491'!$T$26:$T$27</definedName>
    <definedName name="OSRRefT16x_0" localSheetId="54">'311'!$T$36:$T$48</definedName>
    <definedName name="OSRRefT16x_0" localSheetId="66">'313'!$T$19</definedName>
    <definedName name="OSRRefT16x_0" localSheetId="57">'315'!$T$54:$T$72</definedName>
    <definedName name="OSRRefT16x_0" localSheetId="62">'317'!$T$34:$T$44</definedName>
    <definedName name="OSRRefT16x_0" localSheetId="63">'320'!$T$15:$T$16</definedName>
    <definedName name="OSRRefT16x_0" localSheetId="67">'321'!$T$17</definedName>
    <definedName name="OSRRefT16x_0" localSheetId="68">'322'!$T$15</definedName>
    <definedName name="OSRRefT16x_0" localSheetId="55">'324'!$T$19:$T$21</definedName>
    <definedName name="OSRRefT16x_0" localSheetId="69">'325'!$T$17:$T$18</definedName>
    <definedName name="OSRRefT16x_0" localSheetId="58">'326'!$T$34:$T$35</definedName>
    <definedName name="OSRRefT16x_0" localSheetId="70">'327'!$T$16:$T$17</definedName>
    <definedName name="OSRRefT16x_0" localSheetId="51">'330'!$T$28:$T$37</definedName>
    <definedName name="OSRRefT16x_0" localSheetId="56">'331'!$T$54:$T$72</definedName>
    <definedName name="OSRRefT16x_0" localSheetId="59">'332'!$T$26:$T$27</definedName>
    <definedName name="OSRRefT16x_0" localSheetId="74">'405'!$T$17:$T$18</definedName>
    <definedName name="OSRRefT16x_0" localSheetId="80">'415'!$T$17:$T$18</definedName>
    <definedName name="OSRRefT16x_0" localSheetId="81">'418'!$T$15</definedName>
    <definedName name="OSRRefT16x_0" localSheetId="84">'425'!$T$15</definedName>
    <definedName name="OSRRefT16x_0" localSheetId="88">'433'!$T$18:$T$19</definedName>
    <definedName name="OSRRefT16x_0" localSheetId="90">'444'!$T$18:$T$19</definedName>
    <definedName name="OSRRefT16x_0" localSheetId="91">'450'!$T$17:$T$18</definedName>
    <definedName name="OSRRefT16x_0" localSheetId="73">'491'!$T$18:$T$19</definedName>
    <definedName name="OSRRefT16x_0" localSheetId="86">'492'!$T$18:$T$19</definedName>
    <definedName name="OSRRefT16x_0" localSheetId="47">'Div 3'!$T$76:$T$109</definedName>
    <definedName name="OSRRefT16x_0" localSheetId="71">'Div 4'!$T$20:$T$21</definedName>
    <definedName name="OSRRefT16x_0" localSheetId="61">'Div 6'!$T$34:$T$44</definedName>
    <definedName name="OSRRefT16x_0" localSheetId="2">Summary!$T$95:$T$135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'300'!$T$111:$T$120</definedName>
    <definedName name="OSRRefT22_0x_0" localSheetId="49">'300 &amp; 317'!$T$133:$T$142</definedName>
    <definedName name="OSRRefT22_0x_0" localSheetId="50">'301'!$T$20:$T$29</definedName>
    <definedName name="OSRRefT22_0x_0" localSheetId="52">'307'!$T$39:$T$41</definedName>
    <definedName name="OSRRefT22_0x_0" localSheetId="53">'308'!$T$54:$T$62</definedName>
    <definedName name="OSRRefT22_0x_0" localSheetId="65">'309'!$T$20</definedName>
    <definedName name="OSRRefT22_0x_0" localSheetId="64">'310'!$T$30:$T$37</definedName>
    <definedName name="OSRRefT22_0x_0" localSheetId="72">'310 &amp; 491'!$T$33:$T$40</definedName>
    <definedName name="OSRRefT22_0x_0" localSheetId="54">'311'!$T$54:$T$62</definedName>
    <definedName name="OSRRefT22_0x_0" localSheetId="66">'313'!$T$25:$T$32</definedName>
    <definedName name="OSRRefT22_0x_0" localSheetId="57">'315'!$T$78:$T$85</definedName>
    <definedName name="OSRRefT22_0x_0" localSheetId="60">'316'!$T$31:$T$38</definedName>
    <definedName name="OSRRefT22_0x_0" localSheetId="62">'317'!$T$50:$T$58</definedName>
    <definedName name="OSRRefT22_0x_0" localSheetId="63">'320'!$T$22:$T$23</definedName>
    <definedName name="OSRRefT22_0x_0" localSheetId="67">'321'!$T$23:$T$30</definedName>
    <definedName name="OSRRefT22_0x_0" localSheetId="68">'322'!$T$21:$T$25</definedName>
    <definedName name="OSRRefT22_0x_0" localSheetId="69">'325'!$T$24:$T$30</definedName>
    <definedName name="OSRRefT22_0x_0" localSheetId="58">'326'!$T$41:$T$48</definedName>
    <definedName name="OSRRefT22_0x_0" localSheetId="51">'330'!$T$43:$T$46</definedName>
    <definedName name="OSRRefT22_0x_0" localSheetId="56">'331'!$T$78:$T$85</definedName>
    <definedName name="OSRRefT22_0x_0" localSheetId="59">'332'!$T$33:$T$40</definedName>
    <definedName name="OSRRefT22_0x_0" localSheetId="74">'405'!$T$24:$T$31</definedName>
    <definedName name="OSRRefT22_0x_0" localSheetId="75">'406'!$T$20</definedName>
    <definedName name="OSRRefT22_0x_0" localSheetId="76">'411'!$T$20:$T$27</definedName>
    <definedName name="OSRRefT22_0x_0" localSheetId="77">'412'!$T$20</definedName>
    <definedName name="OSRRefT22_0x_0" localSheetId="78">'413'!$T$20:$T$24</definedName>
    <definedName name="OSRRefT22_0x_0" localSheetId="79">'414'!$T$21</definedName>
    <definedName name="OSRRefT22_0x_0" localSheetId="80">'415'!$T$24:$T$31</definedName>
    <definedName name="OSRRefT22_0x_0" localSheetId="81">'418'!$T$21:$T$28</definedName>
    <definedName name="OSRRefT22_0x_0" localSheetId="82">'423'!$T$20:$T$21</definedName>
    <definedName name="OSRRefT22_0x_0" localSheetId="83">'424'!$T$20</definedName>
    <definedName name="OSRRefT22_0x_0" localSheetId="84">'425'!$T$21:$T$25</definedName>
    <definedName name="OSRRefT22_0x_0" localSheetId="87">'430'!$T$20:$T$27</definedName>
    <definedName name="OSRRefT22_0x_0" localSheetId="88">'433'!$T$25:$T$33</definedName>
    <definedName name="OSRRefT22_0x_0" localSheetId="89">'435'!$T$20</definedName>
    <definedName name="OSRRefT22_0x_0" localSheetId="90">'444'!$T$25:$T$33</definedName>
    <definedName name="OSRRefT22_0x_0" localSheetId="91">'450'!$T$24:$T$32</definedName>
    <definedName name="OSRRefT22_0x_0" localSheetId="73">'491'!$T$25:$T$32</definedName>
    <definedName name="OSRRefT22_0x_0" localSheetId="86">'492'!$T$25:$T$33</definedName>
    <definedName name="OSRRefT22_0x_0" localSheetId="93">'501'!$T$21:$T$28</definedName>
    <definedName name="OSRRefT22_0x_0" localSheetId="39">'Div 2'!$T$20:$T$29</definedName>
    <definedName name="OSRRefT22_0x_0" localSheetId="47">'Div 3'!$T$115:$T$124</definedName>
    <definedName name="OSRRefT22_0x_0" localSheetId="71">'Div 4'!$T$27:$T$35</definedName>
    <definedName name="OSRRefT22_0x_0" localSheetId="92">'Div 5'!$T$21:$T$28</definedName>
    <definedName name="OSRRefT22_0x_0" localSheetId="61">'Div 6'!$T$50:$T$58</definedName>
    <definedName name="OSRRefT22_0x_0" localSheetId="2">Summary!$T$141:$T$150</definedName>
    <definedName name="OSRRefT22_10x_0" localSheetId="41">'201'!$T$49:$T$50</definedName>
    <definedName name="OSRRefT22_10x_0" localSheetId="42">'202'!$T$52</definedName>
    <definedName name="OSRRefT22_10x_0" localSheetId="43">'203'!$T$56</definedName>
    <definedName name="OSRRefT22_10x_0" localSheetId="48">'300'!$T$149</definedName>
    <definedName name="OSRRefT22_10x_0" localSheetId="49">'300 &amp; 317'!$T$171</definedName>
    <definedName name="OSRRefT22_10x_0" localSheetId="50">'301'!$T$56</definedName>
    <definedName name="OSRRefT22_10x_0" localSheetId="52">'307'!$T$65:$T$67</definedName>
    <definedName name="OSRRefT22_10x_0" localSheetId="53">'308'!$T$89</definedName>
    <definedName name="OSRRefT22_10x_0" localSheetId="64">'310'!$T$60:$T$61</definedName>
    <definedName name="OSRRefT22_10x_0" localSheetId="72">'310 &amp; 491'!$T$65</definedName>
    <definedName name="OSRRefT22_10x_0" localSheetId="54">'311'!$T$89</definedName>
    <definedName name="OSRRefT22_10x_0" localSheetId="57">'315'!$T$116</definedName>
    <definedName name="OSRRefT22_10x_0" localSheetId="60">'316'!$T$66</definedName>
    <definedName name="OSRRefT22_10x_0" localSheetId="67">'321'!$T$56</definedName>
    <definedName name="OSRRefT22_10x_0" localSheetId="69">'325'!$T$54:$T$56</definedName>
    <definedName name="OSRRefT22_10x_0" localSheetId="58">'326'!$T$72:$T$73</definedName>
    <definedName name="OSRRefT22_10x_0" localSheetId="51">'330'!$T$71:$T$73</definedName>
    <definedName name="OSRRefT22_10x_0" localSheetId="56">'331'!$T$112</definedName>
    <definedName name="OSRRefT22_10x_0" localSheetId="59">'332'!$T$68</definedName>
    <definedName name="OSRRefT22_10x_0" localSheetId="74">'405'!$T$58</definedName>
    <definedName name="OSRRefT22_10x_0" localSheetId="76">'411'!$T$54</definedName>
    <definedName name="OSRRefT22_10x_0" localSheetId="80">'415'!$T$55:$T$56</definedName>
    <definedName name="OSRRefT22_10x_0" localSheetId="81">'418'!$T$55</definedName>
    <definedName name="OSRRefT22_10x_0" localSheetId="88">'433'!$T$56</definedName>
    <definedName name="OSRRefT22_10x_0" localSheetId="90">'444'!$T$57:$T$58</definedName>
    <definedName name="OSRRefT22_10x_0" localSheetId="91">'450'!$T$55:$T$56</definedName>
    <definedName name="OSRRefT22_10x_0" localSheetId="73">'491'!$T$57</definedName>
    <definedName name="OSRRefT22_10x_0" localSheetId="86">'492'!$T$58</definedName>
    <definedName name="OSRRefT22_10x_0" localSheetId="39">'Div 2'!$T$55</definedName>
    <definedName name="OSRRefT22_10x_0" localSheetId="47">'Div 3'!$T$153</definedName>
    <definedName name="OSRRefT22_10x_0" localSheetId="71">'Div 4'!$T$61</definedName>
    <definedName name="OSRRefT22_10x_0" localSheetId="2">Summary!$T$178:$T$179</definedName>
    <definedName name="OSRRefT22_11x_0" localSheetId="41">'201'!$T$52</definedName>
    <definedName name="OSRRefT22_11x_0" localSheetId="42">'202'!$T$54</definedName>
    <definedName name="OSRRefT22_11x_0" localSheetId="48">'300'!$T$151</definedName>
    <definedName name="OSRRefT22_11x_0" localSheetId="49">'300 &amp; 317'!$T$173</definedName>
    <definedName name="OSRRefT22_11x_0" localSheetId="50">'301'!$T$58</definedName>
    <definedName name="OSRRefT22_11x_0" localSheetId="52">'307'!$T$69</definedName>
    <definedName name="OSRRefT22_11x_0" localSheetId="53">'308'!$T$91:$T$92</definedName>
    <definedName name="OSRRefT22_11x_0" localSheetId="64">'310'!$T$63:$T$65</definedName>
    <definedName name="OSRRefT22_11x_0" localSheetId="72">'310 &amp; 491'!$T$67</definedName>
    <definedName name="OSRRefT22_11x_0" localSheetId="54">'311'!$T$91:$T$92</definedName>
    <definedName name="OSRRefT22_11x_0" localSheetId="57">'315'!$T$118</definedName>
    <definedName name="OSRRefT22_11x_0" localSheetId="69">'325'!$T$58:$T$60</definedName>
    <definedName name="OSRRefT22_11x_0" localSheetId="58">'326'!$T$75</definedName>
    <definedName name="OSRRefT22_11x_0" localSheetId="51">'330'!$T$75</definedName>
    <definedName name="OSRRefT22_11x_0" localSheetId="56">'331'!$T$114:$T$115</definedName>
    <definedName name="OSRRefT22_11x_0" localSheetId="74">'405'!$T$60</definedName>
    <definedName name="OSRRefT22_11x_0" localSheetId="76">'411'!$T$56</definedName>
    <definedName name="OSRRefT22_11x_0" localSheetId="80">'415'!$T$58:$T$61</definedName>
    <definedName name="OSRRefT22_11x_0" localSheetId="88">'433'!$T$58:$T$60</definedName>
    <definedName name="OSRRefT22_11x_0" localSheetId="90">'444'!$T$60:$T$62</definedName>
    <definedName name="OSRRefT22_11x_0" localSheetId="91">'450'!$T$58:$T$61</definedName>
    <definedName name="OSRRefT22_11x_0" localSheetId="73">'491'!$T$59</definedName>
    <definedName name="OSRRefT22_11x_0" localSheetId="86">'492'!$T$60:$T$62</definedName>
    <definedName name="OSRRefT22_11x_0" localSheetId="39">'Div 2'!$T$57:$T$59</definedName>
    <definedName name="OSRRefT22_11x_0" localSheetId="47">'Div 3'!$T$155</definedName>
    <definedName name="OSRRefT22_11x_0" localSheetId="71">'Div 4'!$T$63</definedName>
    <definedName name="OSRRefT22_11x_0" localSheetId="2">Summary!$T$181</definedName>
    <definedName name="OSRRefT22_12x_0" localSheetId="48">'300'!$T$153:$T$154</definedName>
    <definedName name="OSRRefT22_12x_0" localSheetId="49">'300 &amp; 317'!$T$175:$T$176</definedName>
    <definedName name="OSRRefT22_12x_0" localSheetId="50">'301'!$T$60</definedName>
    <definedName name="OSRRefT22_12x_0" localSheetId="53">'308'!$T$94:$T$95</definedName>
    <definedName name="OSRRefT22_12x_0" localSheetId="64">'310'!$T$67:$T$70</definedName>
    <definedName name="OSRRefT22_12x_0" localSheetId="72">'310 &amp; 491'!$T$69</definedName>
    <definedName name="OSRRefT22_12x_0" localSheetId="54">'311'!$T$94:$T$95</definedName>
    <definedName name="OSRRefT22_12x_0" localSheetId="69">'325'!$T$62</definedName>
    <definedName name="OSRRefT22_12x_0" localSheetId="58">'326'!$T$77:$T$79</definedName>
    <definedName name="OSRRefT22_12x_0" localSheetId="56">'331'!$T$117:$T$118</definedName>
    <definedName name="OSRRefT22_12x_0" localSheetId="76">'411'!$T$58</definedName>
    <definedName name="OSRRefT22_12x_0" localSheetId="80">'415'!$T$63</definedName>
    <definedName name="OSRRefT22_12x_0" localSheetId="88">'433'!$T$62:$T$66</definedName>
    <definedName name="OSRRefT22_12x_0" localSheetId="90">'444'!$T$64:$T$69</definedName>
    <definedName name="OSRRefT22_12x_0" localSheetId="91">'450'!$T$63</definedName>
    <definedName name="OSRRefT22_12x_0" localSheetId="73">'491'!$T$61:$T$63</definedName>
    <definedName name="OSRRefT22_12x_0" localSheetId="86">'492'!$T$64:$T$66</definedName>
    <definedName name="OSRRefT22_12x_0" localSheetId="39">'Div 2'!$T$61:$T$63</definedName>
    <definedName name="OSRRefT22_12x_0" localSheetId="47">'Div 3'!$T$157</definedName>
    <definedName name="OSRRefT22_12x_0" localSheetId="71">'Div 4'!$T$65</definedName>
    <definedName name="OSRRefT22_12x_0" localSheetId="2">Summary!$T$183</definedName>
    <definedName name="OSRRefT22_13x_0" localSheetId="48">'300'!$T$156</definedName>
    <definedName name="OSRRefT22_13x_0" localSheetId="49">'300 &amp; 317'!$T$178</definedName>
    <definedName name="OSRRefT22_13x_0" localSheetId="50">'301'!$T$62:$T$65</definedName>
    <definedName name="OSRRefT22_13x_0" localSheetId="53">'308'!$T$97</definedName>
    <definedName name="OSRRefT22_13x_0" localSheetId="64">'310'!$T$72</definedName>
    <definedName name="OSRRefT22_13x_0" localSheetId="72">'310 &amp; 491'!$T$71:$T$73</definedName>
    <definedName name="OSRRefT22_13x_0" localSheetId="54">'311'!$T$97</definedName>
    <definedName name="OSRRefT22_13x_0" localSheetId="69">'325'!$T$64</definedName>
    <definedName name="OSRRefT22_13x_0" localSheetId="58">'326'!$T$81</definedName>
    <definedName name="OSRRefT22_13x_0" localSheetId="56">'331'!$T$120:$T$121</definedName>
    <definedName name="OSRRefT22_13x_0" localSheetId="76">'411'!$T$60</definedName>
    <definedName name="OSRRefT22_13x_0" localSheetId="80">'415'!$T$65:$T$70</definedName>
    <definedName name="OSRRefT22_13x_0" localSheetId="88">'433'!$T$68</definedName>
    <definedName name="OSRRefT22_13x_0" localSheetId="90">'444'!$T$71</definedName>
    <definedName name="OSRRefT22_13x_0" localSheetId="73">'491'!$T$65:$T$68</definedName>
    <definedName name="OSRRefT22_13x_0" localSheetId="86">'492'!$T$68:$T$73</definedName>
    <definedName name="OSRRefT22_13x_0" localSheetId="39">'Div 2'!$T$65</definedName>
    <definedName name="OSRRefT22_13x_0" localSheetId="47">'Div 3'!$T$159:$T$160</definedName>
    <definedName name="OSRRefT22_13x_0" localSheetId="71">'Div 4'!$T$67</definedName>
    <definedName name="OSRRefT22_13x_0" localSheetId="2">Summary!$T$185</definedName>
    <definedName name="OSRRefT22_14x_0" localSheetId="48">'300'!$T$158:$T$161</definedName>
    <definedName name="OSRRefT22_14x_0" localSheetId="49">'300 &amp; 317'!$T$180:$T$183</definedName>
    <definedName name="OSRRefT22_14x_0" localSheetId="50">'301'!$T$67:$T$69</definedName>
    <definedName name="OSRRefT22_14x_0" localSheetId="64">'310'!$T$74</definedName>
    <definedName name="OSRRefT22_14x_0" localSheetId="72">'310 &amp; 491'!$T$75:$T$78</definedName>
    <definedName name="OSRRefT22_14x_0" localSheetId="58">'326'!$T$83</definedName>
    <definedName name="OSRRefT22_14x_0" localSheetId="56">'331'!$T$123</definedName>
    <definedName name="OSRRefT22_14x_0" localSheetId="80">'415'!$T$72</definedName>
    <definedName name="OSRRefT22_14x_0" localSheetId="90">'444'!$T$73</definedName>
    <definedName name="OSRRefT22_14x_0" localSheetId="73">'491'!$T$70</definedName>
    <definedName name="OSRRefT22_14x_0" localSheetId="86">'492'!$T$75</definedName>
    <definedName name="OSRRefT22_14x_0" localSheetId="39">'Div 2'!$T$67</definedName>
    <definedName name="OSRRefT22_14x_0" localSheetId="47">'Div 3'!$T$162</definedName>
    <definedName name="OSRRefT22_14x_0" localSheetId="71">'Div 4'!$T$69:$T$71</definedName>
    <definedName name="OSRRefT22_14x_0" localSheetId="2">Summary!$T$187:$T$188</definedName>
    <definedName name="OSRRefT22_15x_0" localSheetId="48">'300'!$T$163:$T$165</definedName>
    <definedName name="OSRRefT22_15x_0" localSheetId="49">'300 &amp; 317'!$T$185:$T$187</definedName>
    <definedName name="OSRRefT22_15x_0" localSheetId="50">'301'!$T$71:$T$75</definedName>
    <definedName name="OSRRefT22_15x_0" localSheetId="72">'310 &amp; 491'!$T$80</definedName>
    <definedName name="OSRRefT22_15x_0" localSheetId="58">'326'!$T$85</definedName>
    <definedName name="OSRRefT22_15x_0" localSheetId="56">'331'!$T$125:$T$128</definedName>
    <definedName name="OSRRefT22_15x_0" localSheetId="80">'415'!$T$74</definedName>
    <definedName name="OSRRefT22_15x_0" localSheetId="73">'491'!$T$72:$T$78</definedName>
    <definedName name="OSRRefT22_15x_0" localSheetId="86">'492'!$T$77</definedName>
    <definedName name="OSRRefT22_15x_0" localSheetId="39">'Div 2'!$T$69:$T$73</definedName>
    <definedName name="OSRRefT22_15x_0" localSheetId="47">'Div 3'!$T$164:$T$167</definedName>
    <definedName name="OSRRefT22_15x_0" localSheetId="71">'Div 4'!$T$73:$T$76</definedName>
    <definedName name="OSRRefT22_15x_0" localSheetId="2">Summary!$T$190</definedName>
    <definedName name="OSRRefT22_16x_0" localSheetId="48">'300'!$T$167:$T$170</definedName>
    <definedName name="OSRRefT22_16x_0" localSheetId="49">'300 &amp; 317'!$T$189:$T$192</definedName>
    <definedName name="OSRRefT22_16x_0" localSheetId="50">'301'!$T$77</definedName>
    <definedName name="OSRRefT22_16x_0" localSheetId="72">'310 &amp; 491'!$T$82:$T$88</definedName>
    <definedName name="OSRRefT22_16x_0" localSheetId="56">'331'!$T$130</definedName>
    <definedName name="OSRRefT22_16x_0" localSheetId="73">'491'!$T$80</definedName>
    <definedName name="OSRRefT22_16x_0" localSheetId="86">'492'!$T$79</definedName>
    <definedName name="OSRRefT22_16x_0" localSheetId="39">'Div 2'!$T$75:$T$76</definedName>
    <definedName name="OSRRefT22_16x_0" localSheetId="47">'Div 3'!$T$169:$T$171</definedName>
    <definedName name="OSRRefT22_16x_0" localSheetId="71">'Div 4'!$T$78</definedName>
    <definedName name="OSRRefT22_16x_0" localSheetId="2">Summary!$T$192</definedName>
    <definedName name="OSRRefT22_17x_0" localSheetId="48">'300'!$T$172:$T$173</definedName>
    <definedName name="OSRRefT22_17x_0" localSheetId="49">'300 &amp; 317'!$T$194:$T$195</definedName>
    <definedName name="OSRRefT22_17x_0" localSheetId="50">'301'!$T$79</definedName>
    <definedName name="OSRRefT22_17x_0" localSheetId="72">'310 &amp; 491'!$T$90</definedName>
    <definedName name="OSRRefT22_17x_0" localSheetId="56">'331'!$T$132</definedName>
    <definedName name="OSRRefT22_17x_0" localSheetId="73">'491'!$T$82</definedName>
    <definedName name="OSRRefT22_17x_0" localSheetId="39">'Div 2'!$T$78</definedName>
    <definedName name="OSRRefT22_17x_0" localSheetId="47">'Div 3'!$T$173:$T$177</definedName>
    <definedName name="OSRRefT22_17x_0" localSheetId="71">'Div 4'!$T$80:$T$87</definedName>
    <definedName name="OSRRefT22_17x_0" localSheetId="2">Summary!$T$194:$T$197</definedName>
    <definedName name="OSRRefT22_18x_0" localSheetId="48">'300'!$T$175:$T$180</definedName>
    <definedName name="OSRRefT22_18x_0" localSheetId="49">'300 &amp; 317'!$T$197:$T$202</definedName>
    <definedName name="OSRRefT22_18x_0" localSheetId="50">'301'!$T$81:$T$82</definedName>
    <definedName name="OSRRefT22_18x_0" localSheetId="72">'310 &amp; 491'!$T$92</definedName>
    <definedName name="OSRRefT22_18x_0" localSheetId="56">'331'!$T$134</definedName>
    <definedName name="OSRRefT22_18x_0" localSheetId="73">'491'!$T$84</definedName>
    <definedName name="OSRRefT22_18x_0" localSheetId="39">'Div 2'!$T$80</definedName>
    <definedName name="OSRRefT22_18x_0" localSheetId="47">'Div 3'!$T$179:$T$180</definedName>
    <definedName name="OSRRefT22_18x_0" localSheetId="71">'Div 4'!$T$89</definedName>
    <definedName name="OSRRefT22_18x_0" localSheetId="2">Summary!$T$199:$T$201</definedName>
    <definedName name="OSRRefT22_19x_0" localSheetId="48">'300'!$T$182:$T$183</definedName>
    <definedName name="OSRRefT22_19x_0" localSheetId="49">'300 &amp; 317'!$T$204:$T$205</definedName>
    <definedName name="OSRRefT22_19x_0" localSheetId="50">'301'!$T$84</definedName>
    <definedName name="OSRRefT22_19x_0" localSheetId="72">'310 &amp; 491'!$T$94</definedName>
    <definedName name="OSRRefT22_19x_0" localSheetId="47">'Div 3'!$T$182:$T$187</definedName>
    <definedName name="OSRRefT22_19x_0" localSheetId="71">'Div 4'!$T$91</definedName>
    <definedName name="OSRRefT22_19x_0" localSheetId="2">Summary!$T$203:$T$207</definedName>
    <definedName name="OSRRefT22_1x_0" localSheetId="40">'200'!$T$22</definedName>
    <definedName name="OSRRefT22_1x_0" localSheetId="41">'201'!$T$29:$T$30</definedName>
    <definedName name="OSRRefT22_1x_0" localSheetId="42">'202'!$T$29:$T$30</definedName>
    <definedName name="OSRRefT22_1x_0" localSheetId="43">'203'!$T$30:$T$33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'300'!$T$122:$T$128</definedName>
    <definedName name="OSRRefT22_1x_0" localSheetId="49">'300 &amp; 317'!$T$144:$T$150</definedName>
    <definedName name="OSRRefT22_1x_0" localSheetId="50">'301'!$T$31:$T$37</definedName>
    <definedName name="OSRRefT22_1x_0" localSheetId="52">'307'!$T$43:$T$44</definedName>
    <definedName name="OSRRefT22_1x_0" localSheetId="53">'308'!$T$64:$T$70</definedName>
    <definedName name="OSRRefT22_1x_0" localSheetId="65">'309'!$T$22:$T$23</definedName>
    <definedName name="OSRRefT22_1x_0" localSheetId="64">'310'!$T$39:$T$41</definedName>
    <definedName name="OSRRefT22_1x_0" localSheetId="72">'310 &amp; 491'!$T$42:$T$46</definedName>
    <definedName name="OSRRefT22_1x_0" localSheetId="54">'311'!$T$64:$T$70</definedName>
    <definedName name="OSRRefT22_1x_0" localSheetId="66">'313'!$T$34</definedName>
    <definedName name="OSRRefT22_1x_0" localSheetId="57">'315'!$T$87:$T$91</definedName>
    <definedName name="OSRRefT22_1x_0" localSheetId="60">'316'!$T$40:$T$42</definedName>
    <definedName name="OSRRefT22_1x_0" localSheetId="62">'317'!$T$60:$T$63</definedName>
    <definedName name="OSRRefT22_1x_0" localSheetId="63">'320'!$T$25</definedName>
    <definedName name="OSRRefT22_1x_0" localSheetId="67">'321'!$T$32:$T$34</definedName>
    <definedName name="OSRRefT22_1x_0" localSheetId="68">'322'!$T$27</definedName>
    <definedName name="OSRRefT22_1x_0" localSheetId="69">'325'!$T$32:$T$34</definedName>
    <definedName name="OSRRefT22_1x_0" localSheetId="58">'326'!$T$50:$T$54</definedName>
    <definedName name="OSRRefT22_1x_0" localSheetId="51">'330'!$T$48:$T$49</definedName>
    <definedName name="OSRRefT22_1x_0" localSheetId="56">'331'!$T$87:$T$91</definedName>
    <definedName name="OSRRefT22_1x_0" localSheetId="59">'332'!$T$42:$T$44</definedName>
    <definedName name="OSRRefT22_1x_0" localSheetId="74">'405'!$T$33:$T$36</definedName>
    <definedName name="OSRRefT22_1x_0" localSheetId="75">'406'!$T$22</definedName>
    <definedName name="OSRRefT22_1x_0" localSheetId="76">'411'!$T$29:$T$32</definedName>
    <definedName name="OSRRefT22_1x_0" localSheetId="77">'412'!$T$22</definedName>
    <definedName name="OSRRefT22_1x_0" localSheetId="78">'413'!$T$26</definedName>
    <definedName name="OSRRefT22_1x_0" localSheetId="79">'414'!$T$23</definedName>
    <definedName name="OSRRefT22_1x_0" localSheetId="80">'415'!$T$33:$T$36</definedName>
    <definedName name="OSRRefT22_1x_0" localSheetId="81">'418'!$T$30:$T$33</definedName>
    <definedName name="OSRRefT22_1x_0" localSheetId="82">'423'!$T$23</definedName>
    <definedName name="OSRRefT22_1x_0" localSheetId="83">'424'!$T$22</definedName>
    <definedName name="OSRRefT22_1x_0" localSheetId="84">'425'!$T$27</definedName>
    <definedName name="OSRRefT22_1x_0" localSheetId="87">'430'!$T$29</definedName>
    <definedName name="OSRRefT22_1x_0" localSheetId="88">'433'!$T$35:$T$38</definedName>
    <definedName name="OSRRefT22_1x_0" localSheetId="90">'444'!$T$35:$T$39</definedName>
    <definedName name="OSRRefT22_1x_0" localSheetId="91">'450'!$T$34:$T$37</definedName>
    <definedName name="OSRRefT22_1x_0" localSheetId="73">'491'!$T$34:$T$38</definedName>
    <definedName name="OSRRefT22_1x_0" localSheetId="86">'492'!$T$35:$T$40</definedName>
    <definedName name="OSRRefT22_1x_0" localSheetId="93">'501'!$T$30:$T$34</definedName>
    <definedName name="OSRRefT22_1x_0" localSheetId="39">'Div 2'!$T$31:$T$36</definedName>
    <definedName name="OSRRefT22_1x_0" localSheetId="47">'Div 3'!$T$126:$T$132</definedName>
    <definedName name="OSRRefT22_1x_0" localSheetId="71">'Div 4'!$T$37:$T$42</definedName>
    <definedName name="OSRRefT22_1x_0" localSheetId="92">'Div 5'!$T$30:$T$34</definedName>
    <definedName name="OSRRefT22_1x_0" localSheetId="61">'Div 6'!$T$60:$T$63</definedName>
    <definedName name="OSRRefT22_1x_0" localSheetId="2">Summary!$T$152:$T$158</definedName>
    <definedName name="OSRRefT22_20x_0" localSheetId="48">'300'!$T$185</definedName>
    <definedName name="OSRRefT22_20x_0" localSheetId="49">'300 &amp; 317'!$T$207</definedName>
    <definedName name="OSRRefT22_20x_0" localSheetId="47">'Div 3'!$T$189:$T$190</definedName>
    <definedName name="OSRRefT22_20x_0" localSheetId="71">'Div 4'!$T$93:$T$94</definedName>
    <definedName name="OSRRefT22_20x_0" localSheetId="2">Summary!$T$209:$T$210</definedName>
    <definedName name="OSRRefT22_21x_0" localSheetId="48">'300'!$T$187:$T$189</definedName>
    <definedName name="OSRRefT22_21x_0" localSheetId="49">'300 &amp; 317'!$T$209:$T$211</definedName>
    <definedName name="OSRRefT22_21x_0" localSheetId="47">'Div 3'!$T$192</definedName>
    <definedName name="OSRRefT22_21x_0" localSheetId="71">'Div 4'!$T$96</definedName>
    <definedName name="OSRRefT22_21x_0" localSheetId="2">Summary!$T$212:$T$220</definedName>
    <definedName name="OSRRefT22_22x_0" localSheetId="48">'300'!$T$191</definedName>
    <definedName name="OSRRefT22_22x_0" localSheetId="49">'300 &amp; 317'!$T$213</definedName>
    <definedName name="OSRRefT22_22x_0" localSheetId="47">'Div 3'!$T$194:$T$196</definedName>
    <definedName name="OSRRefT22_22x_0" localSheetId="2">Summary!$T$222:$T$223</definedName>
    <definedName name="OSRRefT22_23x_0" localSheetId="47">'Div 3'!$T$198</definedName>
    <definedName name="OSRRefT22_23x_0" localSheetId="2">Summary!$T$225</definedName>
    <definedName name="OSRRefT22_24x_0" localSheetId="2">Summary!$T$227:$T$229</definedName>
    <definedName name="OSRRefT22_25x_0" localSheetId="2">Summary!$T$231</definedName>
    <definedName name="OSRRefT22_2x_0" localSheetId="40">'200'!$T$24</definedName>
    <definedName name="OSRRefT22_2x_0" localSheetId="41">'201'!$T$32</definedName>
    <definedName name="OSRRefT22_2x_0" localSheetId="42">'202'!$T$32</definedName>
    <definedName name="OSRRefT22_2x_0" localSheetId="43">'203'!$T$35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'300'!$T$130</definedName>
    <definedName name="OSRRefT22_2x_0" localSheetId="49">'300 &amp; 317'!$T$152</definedName>
    <definedName name="OSRRefT22_2x_0" localSheetId="50">'301'!$T$39</definedName>
    <definedName name="OSRRefT22_2x_0" localSheetId="52">'307'!$T$46</definedName>
    <definedName name="OSRRefT22_2x_0" localSheetId="53">'308'!$T$72</definedName>
    <definedName name="OSRRefT22_2x_0" localSheetId="65">'309'!$T$25:$T$26</definedName>
    <definedName name="OSRRefT22_2x_0" localSheetId="64">'310'!$T$43</definedName>
    <definedName name="OSRRefT22_2x_0" localSheetId="72">'310 &amp; 491'!$T$48</definedName>
    <definedName name="OSRRefT22_2x_0" localSheetId="54">'311'!$T$72</definedName>
    <definedName name="OSRRefT22_2x_0" localSheetId="66">'313'!$T$36</definedName>
    <definedName name="OSRRefT22_2x_0" localSheetId="57">'315'!$T$93</definedName>
    <definedName name="OSRRefT22_2x_0" localSheetId="60">'316'!$T$44</definedName>
    <definedName name="OSRRefT22_2x_0" localSheetId="62">'317'!$T$65</definedName>
    <definedName name="OSRRefT22_2x_0" localSheetId="63">'320'!$T$27</definedName>
    <definedName name="OSRRefT22_2x_0" localSheetId="67">'321'!$T$36</definedName>
    <definedName name="OSRRefT22_2x_0" localSheetId="68">'322'!$T$29</definedName>
    <definedName name="OSRRefT22_2x_0" localSheetId="69">'325'!$T$36</definedName>
    <definedName name="OSRRefT22_2x_0" localSheetId="58">'326'!$T$56</definedName>
    <definedName name="OSRRefT22_2x_0" localSheetId="51">'330'!$T$51</definedName>
    <definedName name="OSRRefT22_2x_0" localSheetId="56">'331'!$T$93</definedName>
    <definedName name="OSRRefT22_2x_0" localSheetId="59">'332'!$T$46</definedName>
    <definedName name="OSRRefT22_2x_0" localSheetId="74">'405'!$T$38</definedName>
    <definedName name="OSRRefT22_2x_0" localSheetId="75">'406'!$T$24</definedName>
    <definedName name="OSRRefT22_2x_0" localSheetId="76">'411'!$T$34</definedName>
    <definedName name="OSRRefT22_2x_0" localSheetId="77">'412'!$T$24</definedName>
    <definedName name="OSRRefT22_2x_0" localSheetId="78">'413'!$T$28</definedName>
    <definedName name="OSRRefT22_2x_0" localSheetId="79">'414'!$T$25</definedName>
    <definedName name="OSRRefT22_2x_0" localSheetId="80">'415'!$T$38</definedName>
    <definedName name="OSRRefT22_2x_0" localSheetId="81">'418'!$T$35</definedName>
    <definedName name="OSRRefT22_2x_0" localSheetId="82">'423'!$T$25</definedName>
    <definedName name="OSRRefT22_2x_0" localSheetId="83">'424'!$T$24</definedName>
    <definedName name="OSRRefT22_2x_0" localSheetId="84">'425'!$T$29</definedName>
    <definedName name="OSRRefT22_2x_0" localSheetId="87">'430'!$T$31</definedName>
    <definedName name="OSRRefT22_2x_0" localSheetId="88">'433'!$T$40</definedName>
    <definedName name="OSRRefT22_2x_0" localSheetId="90">'444'!$T$41</definedName>
    <definedName name="OSRRefT22_2x_0" localSheetId="91">'450'!$T$39</definedName>
    <definedName name="OSRRefT22_2x_0" localSheetId="73">'491'!$T$40</definedName>
    <definedName name="OSRRefT22_2x_0" localSheetId="86">'492'!$T$42</definedName>
    <definedName name="OSRRefT22_2x_0" localSheetId="93">'501'!$T$36</definedName>
    <definedName name="OSRRefT22_2x_0" localSheetId="39">'Div 2'!$T$38</definedName>
    <definedName name="OSRRefT22_2x_0" localSheetId="47">'Div 3'!$T$134</definedName>
    <definedName name="OSRRefT22_2x_0" localSheetId="71">'Div 4'!$T$44</definedName>
    <definedName name="OSRRefT22_2x_0" localSheetId="92">'Div 5'!$T$36</definedName>
    <definedName name="OSRRefT22_2x_0" localSheetId="61">'Div 6'!$T$65</definedName>
    <definedName name="OSRRefT22_2x_0" localSheetId="2">Summary!$T$160</definedName>
    <definedName name="OSRRefT22_3x_0" localSheetId="40">'200'!$T$26</definedName>
    <definedName name="OSRRefT22_3x_0" localSheetId="41">'201'!$T$34</definedName>
    <definedName name="OSRRefT22_3x_0" localSheetId="42">'202'!$T$34</definedName>
    <definedName name="OSRRefT22_3x_0" localSheetId="43">'203'!$T$37</definedName>
    <definedName name="OSRRefT22_3x_0" localSheetId="44">'204'!$T$36</definedName>
    <definedName name="OSRRefT22_3x_0" localSheetId="45">'205'!$T$33:$T$34</definedName>
    <definedName name="OSRRefT22_3x_0" localSheetId="46">'206'!$T$34</definedName>
    <definedName name="OSRRefT22_3x_0" localSheetId="48">'300'!$T$132</definedName>
    <definedName name="OSRRefT22_3x_0" localSheetId="49">'300 &amp; 317'!$T$154</definedName>
    <definedName name="OSRRefT22_3x_0" localSheetId="50">'301'!$T$41</definedName>
    <definedName name="OSRRefT22_3x_0" localSheetId="52">'307'!$T$48</definedName>
    <definedName name="OSRRefT22_3x_0" localSheetId="53">'308'!$T$74</definedName>
    <definedName name="OSRRefT22_3x_0" localSheetId="65">'309'!$T$28</definedName>
    <definedName name="OSRRefT22_3x_0" localSheetId="64">'310'!$T$45</definedName>
    <definedName name="OSRRefT22_3x_0" localSheetId="72">'310 &amp; 491'!$T$50</definedName>
    <definedName name="OSRRefT22_3x_0" localSheetId="54">'311'!$T$74</definedName>
    <definedName name="OSRRefT22_3x_0" localSheetId="66">'313'!$T$38</definedName>
    <definedName name="OSRRefT22_3x_0" localSheetId="57">'315'!$T$95:$T$96</definedName>
    <definedName name="OSRRefT22_3x_0" localSheetId="60">'316'!$T$46</definedName>
    <definedName name="OSRRefT22_3x_0" localSheetId="62">'317'!$T$67</definedName>
    <definedName name="OSRRefT22_3x_0" localSheetId="67">'321'!$T$38</definedName>
    <definedName name="OSRRefT22_3x_0" localSheetId="68">'322'!$T$31</definedName>
    <definedName name="OSRRefT22_3x_0" localSheetId="69">'325'!$T$38</definedName>
    <definedName name="OSRRefT22_3x_0" localSheetId="58">'326'!$T$58</definedName>
    <definedName name="OSRRefT22_3x_0" localSheetId="51">'330'!$T$53</definedName>
    <definedName name="OSRRefT22_3x_0" localSheetId="56">'331'!$T$95</definedName>
    <definedName name="OSRRefT22_3x_0" localSheetId="59">'332'!$T$48</definedName>
    <definedName name="OSRRefT22_3x_0" localSheetId="74">'405'!$T$40</definedName>
    <definedName name="OSRRefT22_3x_0" localSheetId="75">'406'!$T$26</definedName>
    <definedName name="OSRRefT22_3x_0" localSheetId="76">'411'!$T$36:$T$37</definedName>
    <definedName name="OSRRefT22_3x_0" localSheetId="77">'412'!$T$26</definedName>
    <definedName name="OSRRefT22_3x_0" localSheetId="78">'413'!$T$30</definedName>
    <definedName name="OSRRefT22_3x_0" localSheetId="79">'414'!$T$27</definedName>
    <definedName name="OSRRefT22_3x_0" localSheetId="80">'415'!$T$40</definedName>
    <definedName name="OSRRefT22_3x_0" localSheetId="81">'418'!$T$37</definedName>
    <definedName name="OSRRefT22_3x_0" localSheetId="82">'423'!$T$27</definedName>
    <definedName name="OSRRefT22_3x_0" localSheetId="83">'424'!$T$26</definedName>
    <definedName name="OSRRefT22_3x_0" localSheetId="84">'425'!$T$31</definedName>
    <definedName name="OSRRefT22_3x_0" localSheetId="87">'430'!$T$33</definedName>
    <definedName name="OSRRefT22_3x_0" localSheetId="88">'433'!$T$42</definedName>
    <definedName name="OSRRefT22_3x_0" localSheetId="90">'444'!$T$43</definedName>
    <definedName name="OSRRefT22_3x_0" localSheetId="91">'450'!$T$41</definedName>
    <definedName name="OSRRefT22_3x_0" localSheetId="73">'491'!$T$42</definedName>
    <definedName name="OSRRefT22_3x_0" localSheetId="86">'492'!$T$44</definedName>
    <definedName name="OSRRefT22_3x_0" localSheetId="93">'501'!$T$38</definedName>
    <definedName name="OSRRefT22_3x_0" localSheetId="39">'Div 2'!$T$40</definedName>
    <definedName name="OSRRefT22_3x_0" localSheetId="47">'Div 3'!$T$136</definedName>
    <definedName name="OSRRefT22_3x_0" localSheetId="71">'Div 4'!$T$46</definedName>
    <definedName name="OSRRefT22_3x_0" localSheetId="92">'Div 5'!$T$38</definedName>
    <definedName name="OSRRefT22_3x_0" localSheetId="61">'Div 6'!$T$67</definedName>
    <definedName name="OSRRefT22_3x_0" localSheetId="2">Summary!$T$162</definedName>
    <definedName name="OSRRefT22_4x_0" localSheetId="41">'201'!$T$36</definedName>
    <definedName name="OSRRefT22_4x_0" localSheetId="42">'202'!$T$36:$T$37</definedName>
    <definedName name="OSRRefT22_4x_0" localSheetId="43">'203'!$T$39</definedName>
    <definedName name="OSRRefT22_4x_0" localSheetId="44">'204'!$T$38:$T$40</definedName>
    <definedName name="OSRRefT22_4x_0" localSheetId="45">'205'!$T$36</definedName>
    <definedName name="OSRRefT22_4x_0" localSheetId="46">'206'!$T$36</definedName>
    <definedName name="OSRRefT22_4x_0" localSheetId="48">'300'!$T$134</definedName>
    <definedName name="OSRRefT22_4x_0" localSheetId="49">'300 &amp; 317'!$T$156</definedName>
    <definedName name="OSRRefT22_4x_0" localSheetId="50">'301'!$T$43</definedName>
    <definedName name="OSRRefT22_4x_0" localSheetId="52">'307'!$T$50:$T$51</definedName>
    <definedName name="OSRRefT22_4x_0" localSheetId="53">'308'!$T$76</definedName>
    <definedName name="OSRRefT22_4x_0" localSheetId="64">'310'!$T$47</definedName>
    <definedName name="OSRRefT22_4x_0" localSheetId="72">'310 &amp; 491'!$T$52</definedName>
    <definedName name="OSRRefT22_4x_0" localSheetId="54">'311'!$T$76</definedName>
    <definedName name="OSRRefT22_4x_0" localSheetId="66">'313'!$T$40</definedName>
    <definedName name="OSRRefT22_4x_0" localSheetId="57">'315'!$T$98</definedName>
    <definedName name="OSRRefT22_4x_0" localSheetId="60">'316'!$T$48</definedName>
    <definedName name="OSRRefT22_4x_0" localSheetId="62">'317'!$T$69</definedName>
    <definedName name="OSRRefT22_4x_0" localSheetId="67">'321'!$T$40</definedName>
    <definedName name="OSRRefT22_4x_0" localSheetId="68">'322'!$T$33:$T$34</definedName>
    <definedName name="OSRRefT22_4x_0" localSheetId="69">'325'!$T$40</definedName>
    <definedName name="OSRRefT22_4x_0" localSheetId="58">'326'!$T$60</definedName>
    <definedName name="OSRRefT22_4x_0" localSheetId="51">'330'!$T$55:$T$56</definedName>
    <definedName name="OSRRefT22_4x_0" localSheetId="56">'331'!$T$97</definedName>
    <definedName name="OSRRefT22_4x_0" localSheetId="59">'332'!$T$50</definedName>
    <definedName name="OSRRefT22_4x_0" localSheetId="74">'405'!$T$42</definedName>
    <definedName name="OSRRefT22_4x_0" localSheetId="75">'406'!$T$28</definedName>
    <definedName name="OSRRefT22_4x_0" localSheetId="76">'411'!$T$39</definedName>
    <definedName name="OSRRefT22_4x_0" localSheetId="77">'412'!$T$28</definedName>
    <definedName name="OSRRefT22_4x_0" localSheetId="78">'413'!$T$32</definedName>
    <definedName name="OSRRefT22_4x_0" localSheetId="80">'415'!$T$42</definedName>
    <definedName name="OSRRefT22_4x_0" localSheetId="81">'418'!$T$39:$T$40</definedName>
    <definedName name="OSRRefT22_4x_0" localSheetId="84">'425'!$T$33</definedName>
    <definedName name="OSRRefT22_4x_0" localSheetId="87">'430'!$T$35:$T$36</definedName>
    <definedName name="OSRRefT22_4x_0" localSheetId="88">'433'!$T$44</definedName>
    <definedName name="OSRRefT22_4x_0" localSheetId="90">'444'!$T$45</definedName>
    <definedName name="OSRRefT22_4x_0" localSheetId="91">'450'!$T$43</definedName>
    <definedName name="OSRRefT22_4x_0" localSheetId="73">'491'!$T$44</definedName>
    <definedName name="OSRRefT22_4x_0" localSheetId="86">'492'!$T$46</definedName>
    <definedName name="OSRRefT22_4x_0" localSheetId="93">'501'!$T$40</definedName>
    <definedName name="OSRRefT22_4x_0" localSheetId="39">'Div 2'!$T$42</definedName>
    <definedName name="OSRRefT22_4x_0" localSheetId="47">'Div 3'!$T$138</definedName>
    <definedName name="OSRRefT22_4x_0" localSheetId="71">'Div 4'!$T$48</definedName>
    <definedName name="OSRRefT22_4x_0" localSheetId="92">'Div 5'!$T$40</definedName>
    <definedName name="OSRRefT22_4x_0" localSheetId="61">'Div 6'!$T$69</definedName>
    <definedName name="OSRRefT22_4x_0" localSheetId="2">Summary!$T$164</definedName>
    <definedName name="OSRRefT22_5x_0" localSheetId="41">'201'!$T$38</definedName>
    <definedName name="OSRRefT22_5x_0" localSheetId="42">'202'!$T$39</definedName>
    <definedName name="OSRRefT22_5x_0" localSheetId="43">'203'!$T$41</definedName>
    <definedName name="OSRRefT22_5x_0" localSheetId="44">'204'!$T$42</definedName>
    <definedName name="OSRRefT22_5x_0" localSheetId="45">'205'!$T$38</definedName>
    <definedName name="OSRRefT22_5x_0" localSheetId="46">'206'!$T$38</definedName>
    <definedName name="OSRRefT22_5x_0" localSheetId="48">'300'!$T$136:$T$137</definedName>
    <definedName name="OSRRefT22_5x_0" localSheetId="49">'300 &amp; 317'!$T$158:$T$159</definedName>
    <definedName name="OSRRefT22_5x_0" localSheetId="50">'301'!$T$45:$T$46</definedName>
    <definedName name="OSRRefT22_5x_0" localSheetId="52">'307'!$T$53</definedName>
    <definedName name="OSRRefT22_5x_0" localSheetId="53">'308'!$T$78</definedName>
    <definedName name="OSRRefT22_5x_0" localSheetId="64">'310'!$T$49:$T$50</definedName>
    <definedName name="OSRRefT22_5x_0" localSheetId="72">'310 &amp; 491'!$T$54:$T$55</definedName>
    <definedName name="OSRRefT22_5x_0" localSheetId="54">'311'!$T$78</definedName>
    <definedName name="OSRRefT22_5x_0" localSheetId="66">'313'!$T$42</definedName>
    <definedName name="OSRRefT22_5x_0" localSheetId="57">'315'!$T$100:$T$101</definedName>
    <definedName name="OSRRefT22_5x_0" localSheetId="60">'316'!$T$50:$T$51</definedName>
    <definedName name="OSRRefT22_5x_0" localSheetId="62">'317'!$T$71:$T$72</definedName>
    <definedName name="OSRRefT22_5x_0" localSheetId="67">'321'!$T$42</definedName>
    <definedName name="OSRRefT22_5x_0" localSheetId="68">'322'!$T$36</definedName>
    <definedName name="OSRRefT22_5x_0" localSheetId="69">'325'!$T$42:$T$43</definedName>
    <definedName name="OSRRefT22_5x_0" localSheetId="58">'326'!$T$62</definedName>
    <definedName name="OSRRefT22_5x_0" localSheetId="51">'330'!$T$58:$T$59</definedName>
    <definedName name="OSRRefT22_5x_0" localSheetId="56">'331'!$T$99:$T$100</definedName>
    <definedName name="OSRRefT22_5x_0" localSheetId="59">'332'!$T$52:$T$53</definedName>
    <definedName name="OSRRefT22_5x_0" localSheetId="74">'405'!$T$44:$T$45</definedName>
    <definedName name="OSRRefT22_5x_0" localSheetId="76">'411'!$T$41</definedName>
    <definedName name="OSRRefT22_5x_0" localSheetId="78">'413'!$T$34</definedName>
    <definedName name="OSRRefT22_5x_0" localSheetId="80">'415'!$T$44:$T$45</definedName>
    <definedName name="OSRRefT22_5x_0" localSheetId="81">'418'!$T$42</definedName>
    <definedName name="OSRRefT22_5x_0" localSheetId="87">'430'!$T$38</definedName>
    <definedName name="OSRRefT22_5x_0" localSheetId="88">'433'!$T$46</definedName>
    <definedName name="OSRRefT22_5x_0" localSheetId="90">'444'!$T$47</definedName>
    <definedName name="OSRRefT22_5x_0" localSheetId="91">'450'!$T$45</definedName>
    <definedName name="OSRRefT22_5x_0" localSheetId="73">'491'!$T$46:$T$47</definedName>
    <definedName name="OSRRefT22_5x_0" localSheetId="86">'492'!$T$48</definedName>
    <definedName name="OSRRefT22_5x_0" localSheetId="93">'501'!$T$42</definedName>
    <definedName name="OSRRefT22_5x_0" localSheetId="39">'Div 2'!$T$44</definedName>
    <definedName name="OSRRefT22_5x_0" localSheetId="47">'Div 3'!$T$140:$T$141</definedName>
    <definedName name="OSRRefT22_5x_0" localSheetId="71">'Div 4'!$T$50:$T$51</definedName>
    <definedName name="OSRRefT22_5x_0" localSheetId="92">'Div 5'!$T$42</definedName>
    <definedName name="OSRRefT22_5x_0" localSheetId="61">'Div 6'!$T$71:$T$72</definedName>
    <definedName name="OSRRefT22_5x_0" localSheetId="2">Summary!$T$166:$T$167</definedName>
    <definedName name="OSRRefT22_6x_0" localSheetId="41">'201'!$T$40</definedName>
    <definedName name="OSRRefT22_6x_0" localSheetId="42">'202'!$T$41:$T$43</definedName>
    <definedName name="OSRRefT22_6x_0" localSheetId="43">'203'!$T$43:$T$44</definedName>
    <definedName name="OSRRefT22_6x_0" localSheetId="44">'204'!$T$44:$T$45</definedName>
    <definedName name="OSRRefT22_6x_0" localSheetId="46">'206'!$T$40</definedName>
    <definedName name="OSRRefT22_6x_0" localSheetId="48">'300'!$T$139:$T$140</definedName>
    <definedName name="OSRRefT22_6x_0" localSheetId="49">'300 &amp; 317'!$T$161:$T$162</definedName>
    <definedName name="OSRRefT22_6x_0" localSheetId="50">'301'!$T$48</definedName>
    <definedName name="OSRRefT22_6x_0" localSheetId="52">'307'!$T$55</definedName>
    <definedName name="OSRRefT22_6x_0" localSheetId="53">'308'!$T$80</definedName>
    <definedName name="OSRRefT22_6x_0" localSheetId="64">'310'!$T$52</definedName>
    <definedName name="OSRRefT22_6x_0" localSheetId="72">'310 &amp; 491'!$T$57</definedName>
    <definedName name="OSRRefT22_6x_0" localSheetId="54">'311'!$T$80</definedName>
    <definedName name="OSRRefT22_6x_0" localSheetId="57">'315'!$T$103:$T$104</definedName>
    <definedName name="OSRRefT22_6x_0" localSheetId="60">'316'!$T$53:$T$54</definedName>
    <definedName name="OSRRefT22_6x_0" localSheetId="62">'317'!$T$74</definedName>
    <definedName name="OSRRefT22_6x_0" localSheetId="67">'321'!$T$44:$T$45</definedName>
    <definedName name="OSRRefT22_6x_0" localSheetId="68">'322'!$T$38</definedName>
    <definedName name="OSRRefT22_6x_0" localSheetId="69">'325'!$T$45</definedName>
    <definedName name="OSRRefT22_6x_0" localSheetId="58">'326'!$T$64</definedName>
    <definedName name="OSRRefT22_6x_0" localSheetId="51">'330'!$T$61</definedName>
    <definedName name="OSRRefT22_6x_0" localSheetId="56">'331'!$T$102</definedName>
    <definedName name="OSRRefT22_6x_0" localSheetId="59">'332'!$T$55:$T$56</definedName>
    <definedName name="OSRRefT22_6x_0" localSheetId="74">'405'!$T$47</definedName>
    <definedName name="OSRRefT22_6x_0" localSheetId="76">'411'!$T$43</definedName>
    <definedName name="OSRRefT22_6x_0" localSheetId="80">'415'!$T$47</definedName>
    <definedName name="OSRRefT22_6x_0" localSheetId="81">'418'!$T$44</definedName>
    <definedName name="OSRRefT22_6x_0" localSheetId="87">'430'!$T$40</definedName>
    <definedName name="OSRRefT22_6x_0" localSheetId="88">'433'!$T$48</definedName>
    <definedName name="OSRRefT22_6x_0" localSheetId="90">'444'!$T$49</definedName>
    <definedName name="OSRRefT22_6x_0" localSheetId="91">'450'!$T$47</definedName>
    <definedName name="OSRRefT22_6x_0" localSheetId="73">'491'!$T$49</definedName>
    <definedName name="OSRRefT22_6x_0" localSheetId="86">'492'!$T$50</definedName>
    <definedName name="OSRRefT22_6x_0" localSheetId="93">'501'!$T$44</definedName>
    <definedName name="OSRRefT22_6x_0" localSheetId="39">'Div 2'!$T$46</definedName>
    <definedName name="OSRRefT22_6x_0" localSheetId="47">'Div 3'!$T$143:$T$144</definedName>
    <definedName name="OSRRefT22_6x_0" localSheetId="71">'Div 4'!$T$53</definedName>
    <definedName name="OSRRefT22_6x_0" localSheetId="92">'Div 5'!$T$44</definedName>
    <definedName name="OSRRefT22_6x_0" localSheetId="61">'Div 6'!$T$74</definedName>
    <definedName name="OSRRefT22_6x_0" localSheetId="2">Summary!$T$169:$T$170</definedName>
    <definedName name="OSRRefT22_7x_0" localSheetId="41">'201'!$T$42</definedName>
    <definedName name="OSRRefT22_7x_0" localSheetId="42">'202'!$T$45</definedName>
    <definedName name="OSRRefT22_7x_0" localSheetId="43">'203'!$T$46:$T$47</definedName>
    <definedName name="OSRRefT22_7x_0" localSheetId="48">'300'!$T$142</definedName>
    <definedName name="OSRRefT22_7x_0" localSheetId="49">'300 &amp; 317'!$T$164</definedName>
    <definedName name="OSRRefT22_7x_0" localSheetId="50">'301'!$T$50</definedName>
    <definedName name="OSRRefT22_7x_0" localSheetId="52">'307'!$T$57</definedName>
    <definedName name="OSRRefT22_7x_0" localSheetId="53">'308'!$T$82</definedName>
    <definedName name="OSRRefT22_7x_0" localSheetId="64">'310'!$T$54</definedName>
    <definedName name="OSRRefT22_7x_0" localSheetId="72">'310 &amp; 491'!$T$59</definedName>
    <definedName name="OSRRefT22_7x_0" localSheetId="54">'311'!$T$82</definedName>
    <definedName name="OSRRefT22_7x_0" localSheetId="57">'315'!$T$106:$T$107</definedName>
    <definedName name="OSRRefT22_7x_0" localSheetId="60">'316'!$T$56</definedName>
    <definedName name="OSRRefT22_7x_0" localSheetId="62">'317'!$T$76</definedName>
    <definedName name="OSRRefT22_7x_0" localSheetId="67">'321'!$T$47</definedName>
    <definedName name="OSRRefT22_7x_0" localSheetId="69">'325'!$T$47</definedName>
    <definedName name="OSRRefT22_7x_0" localSheetId="58">'326'!$T$66</definedName>
    <definedName name="OSRRefT22_7x_0" localSheetId="51">'330'!$T$63</definedName>
    <definedName name="OSRRefT22_7x_0" localSheetId="56">'331'!$T$104:$T$105</definedName>
    <definedName name="OSRRefT22_7x_0" localSheetId="59">'332'!$T$58</definedName>
    <definedName name="OSRRefT22_7x_0" localSheetId="74">'405'!$T$49</definedName>
    <definedName name="OSRRefT22_7x_0" localSheetId="76">'411'!$T$45</definedName>
    <definedName name="OSRRefT22_7x_0" localSheetId="80">'415'!$T$49</definedName>
    <definedName name="OSRRefT22_7x_0" localSheetId="81">'418'!$T$46:$T$47</definedName>
    <definedName name="OSRRefT22_7x_0" localSheetId="88">'433'!$T$50</definedName>
    <definedName name="OSRRefT22_7x_0" localSheetId="90">'444'!$T$51</definedName>
    <definedName name="OSRRefT22_7x_0" localSheetId="91">'450'!$T$49</definedName>
    <definedName name="OSRRefT22_7x_0" localSheetId="73">'491'!$T$51</definedName>
    <definedName name="OSRRefT22_7x_0" localSheetId="86">'492'!$T$52</definedName>
    <definedName name="OSRRefT22_7x_0" localSheetId="93">'501'!$T$46</definedName>
    <definedName name="OSRRefT22_7x_0" localSheetId="39">'Div 2'!$T$48</definedName>
    <definedName name="OSRRefT22_7x_0" localSheetId="47">'Div 3'!$T$146</definedName>
    <definedName name="OSRRefT22_7x_0" localSheetId="71">'Div 4'!$T$55</definedName>
    <definedName name="OSRRefT22_7x_0" localSheetId="92">'Div 5'!$T$46</definedName>
    <definedName name="OSRRefT22_7x_0" localSheetId="61">'Div 6'!$T$76</definedName>
    <definedName name="OSRRefT22_7x_0" localSheetId="2">Summary!$T$172</definedName>
    <definedName name="OSRRefT22_8x_0" localSheetId="41">'201'!$T$44:$T$45</definedName>
    <definedName name="OSRRefT22_8x_0" localSheetId="42">'202'!$T$47:$T$48</definedName>
    <definedName name="OSRRefT22_8x_0" localSheetId="43">'203'!$T$49</definedName>
    <definedName name="OSRRefT22_8x_0" localSheetId="48">'300'!$T$144</definedName>
    <definedName name="OSRRefT22_8x_0" localSheetId="49">'300 &amp; 317'!$T$166</definedName>
    <definedName name="OSRRefT22_8x_0" localSheetId="50">'301'!$T$52</definedName>
    <definedName name="OSRRefT22_8x_0" localSheetId="52">'307'!$T$59:$T$60</definedName>
    <definedName name="OSRRefT22_8x_0" localSheetId="53">'308'!$T$84</definedName>
    <definedName name="OSRRefT22_8x_0" localSheetId="64">'310'!$T$56</definedName>
    <definedName name="OSRRefT22_8x_0" localSheetId="72">'310 &amp; 491'!$T$61</definedName>
    <definedName name="OSRRefT22_8x_0" localSheetId="54">'311'!$T$84</definedName>
    <definedName name="OSRRefT22_8x_0" localSheetId="57">'315'!$T$109:$T$110</definedName>
    <definedName name="OSRRefT22_8x_0" localSheetId="60">'316'!$T$58:$T$62</definedName>
    <definedName name="OSRRefT22_8x_0" localSheetId="62">'317'!$T$78:$T$80</definedName>
    <definedName name="OSRRefT22_8x_0" localSheetId="67">'321'!$T$49:$T$52</definedName>
    <definedName name="OSRRefT22_8x_0" localSheetId="69">'325'!$T$49</definedName>
    <definedName name="OSRRefT22_8x_0" localSheetId="58">'326'!$T$68</definedName>
    <definedName name="OSRRefT22_8x_0" localSheetId="51">'330'!$T$65:$T$66</definedName>
    <definedName name="OSRRefT22_8x_0" localSheetId="56">'331'!$T$107</definedName>
    <definedName name="OSRRefT22_8x_0" localSheetId="59">'332'!$T$60:$T$64</definedName>
    <definedName name="OSRRefT22_8x_0" localSheetId="74">'405'!$T$51:$T$52</definedName>
    <definedName name="OSRRefT22_8x_0" localSheetId="76">'411'!$T$47:$T$49</definedName>
    <definedName name="OSRRefT22_8x_0" localSheetId="80">'415'!$T$51</definedName>
    <definedName name="OSRRefT22_8x_0" localSheetId="81">'418'!$T$49</definedName>
    <definedName name="OSRRefT22_8x_0" localSheetId="88">'433'!$T$52</definedName>
    <definedName name="OSRRefT22_8x_0" localSheetId="90">'444'!$T$53</definedName>
    <definedName name="OSRRefT22_8x_0" localSheetId="91">'450'!$T$51</definedName>
    <definedName name="OSRRefT22_8x_0" localSheetId="73">'491'!$T$53</definedName>
    <definedName name="OSRRefT22_8x_0" localSheetId="86">'492'!$T$54</definedName>
    <definedName name="OSRRefT22_8x_0" localSheetId="93">'501'!$T$48</definedName>
    <definedName name="OSRRefT22_8x_0" localSheetId="39">'Div 2'!$T$50:$T$51</definedName>
    <definedName name="OSRRefT22_8x_0" localSheetId="47">'Div 3'!$T$148</definedName>
    <definedName name="OSRRefT22_8x_0" localSheetId="71">'Div 4'!$T$57</definedName>
    <definedName name="OSRRefT22_8x_0" localSheetId="92">'Div 5'!$T$48</definedName>
    <definedName name="OSRRefT22_8x_0" localSheetId="61">'Div 6'!$T$78:$T$80</definedName>
    <definedName name="OSRRefT22_8x_0" localSheetId="2">Summary!$T$174</definedName>
    <definedName name="OSRRefT22_9x_0" localSheetId="41">'201'!$T$47</definedName>
    <definedName name="OSRRefT22_9x_0" localSheetId="42">'202'!$T$50</definedName>
    <definedName name="OSRRefT22_9x_0" localSheetId="43">'203'!$T$51:$T$54</definedName>
    <definedName name="OSRRefT22_9x_0" localSheetId="48">'300'!$T$146:$T$147</definedName>
    <definedName name="OSRRefT22_9x_0" localSheetId="49">'300 &amp; 317'!$T$168:$T$169</definedName>
    <definedName name="OSRRefT22_9x_0" localSheetId="50">'301'!$T$54</definedName>
    <definedName name="OSRRefT22_9x_0" localSheetId="52">'307'!$T$62:$T$63</definedName>
    <definedName name="OSRRefT22_9x_0" localSheetId="53">'308'!$T$86:$T$87</definedName>
    <definedName name="OSRRefT22_9x_0" localSheetId="64">'310'!$T$58</definedName>
    <definedName name="OSRRefT22_9x_0" localSheetId="72">'310 &amp; 491'!$T$63</definedName>
    <definedName name="OSRRefT22_9x_0" localSheetId="54">'311'!$T$86:$T$87</definedName>
    <definedName name="OSRRefT22_9x_0" localSheetId="57">'315'!$T$112:$T$114</definedName>
    <definedName name="OSRRefT22_9x_0" localSheetId="60">'316'!$T$64</definedName>
    <definedName name="OSRRefT22_9x_0" localSheetId="62">'317'!$T$82</definedName>
    <definedName name="OSRRefT22_9x_0" localSheetId="67">'321'!$T$54</definedName>
    <definedName name="OSRRefT22_9x_0" localSheetId="69">'325'!$T$51:$T$52</definedName>
    <definedName name="OSRRefT22_9x_0" localSheetId="58">'326'!$T$70</definedName>
    <definedName name="OSRRefT22_9x_0" localSheetId="51">'330'!$T$68:$T$69</definedName>
    <definedName name="OSRRefT22_9x_0" localSheetId="56">'331'!$T$109:$T$110</definedName>
    <definedName name="OSRRefT22_9x_0" localSheetId="59">'332'!$T$66</definedName>
    <definedName name="OSRRefT22_9x_0" localSheetId="74">'405'!$T$54:$T$56</definedName>
    <definedName name="OSRRefT22_9x_0" localSheetId="76">'411'!$T$51:$T$52</definedName>
    <definedName name="OSRRefT22_9x_0" localSheetId="80">'415'!$T$53</definedName>
    <definedName name="OSRRefT22_9x_0" localSheetId="81">'418'!$T$51:$T$53</definedName>
    <definedName name="OSRRefT22_9x_0" localSheetId="88">'433'!$T$54</definedName>
    <definedName name="OSRRefT22_9x_0" localSheetId="90">'444'!$T$55</definedName>
    <definedName name="OSRRefT22_9x_0" localSheetId="91">'450'!$T$53</definedName>
    <definedName name="OSRRefT22_9x_0" localSheetId="73">'491'!$T$55</definedName>
    <definedName name="OSRRefT22_9x_0" localSheetId="86">'492'!$T$56</definedName>
    <definedName name="OSRRefT22_9x_0" localSheetId="93">'501'!$T$50</definedName>
    <definedName name="OSRRefT22_9x_0" localSheetId="39">'Div 2'!$T$53</definedName>
    <definedName name="OSRRefT22_9x_0" localSheetId="47">'Div 3'!$T$150:$T$151</definedName>
    <definedName name="OSRRefT22_9x_0" localSheetId="71">'Div 4'!$T$59</definedName>
    <definedName name="OSRRefT22_9x_0" localSheetId="92">'Div 5'!$T$50</definedName>
    <definedName name="OSRRefT22_9x_0" localSheetId="61">'Div 6'!$T$82</definedName>
    <definedName name="OSRRefT22_9x_0" localSheetId="2">Summary!$T$176</definedName>
    <definedName name="OSRRefT22x_0" localSheetId="40">'200'!$T$20,'200'!$T$22,'200'!$T$24,'200'!$T$26</definedName>
    <definedName name="OSRRefT22x_0" localSheetId="41">'201'!$T$20:$T$27,'201'!$T$29:$T$30,'201'!$T$32,'201'!$T$34,'201'!$T$36,'201'!$T$38,'201'!$T$40,'201'!$T$42,'201'!$T$44:$T$45,'201'!$T$47,'201'!$T$49:$T$50,'201'!$T$52</definedName>
    <definedName name="OSRRefT22x_0" localSheetId="42">'202'!$T$20:$T$27,'202'!$T$29:$T$30,'202'!$T$32,'202'!$T$34,'202'!$T$36:$T$37,'202'!$T$39,'202'!$T$41:$T$43,'202'!$T$45,'202'!$T$47:$T$48,'202'!$T$50,'202'!$T$52,'202'!$T$54</definedName>
    <definedName name="OSRRefT22x_0" localSheetId="43">'203'!$T$20:$T$28,'203'!$T$30:$T$33,'203'!$T$35,'203'!$T$37,'203'!$T$39,'203'!$T$41,'203'!$T$43:$T$44,'203'!$T$46:$T$47,'203'!$T$49,'203'!$T$51:$T$54,'203'!$T$56</definedName>
    <definedName name="OSRRefT22x_0" localSheetId="44">'204'!$T$20:$T$28,'204'!$T$30:$T$32,'204'!$T$34,'204'!$T$36,'204'!$T$38:$T$40,'204'!$T$42,'204'!$T$44:$T$45</definedName>
    <definedName name="OSRRefT22x_0" localSheetId="45">'205'!$T$20:$T$27,'205'!$T$29,'205'!$T$31,'205'!$T$33:$T$34,'205'!$T$36,'205'!$T$38</definedName>
    <definedName name="OSRRefT22x_0" localSheetId="46">'206'!$T$20:$T$26,'206'!$T$28:$T$30,'206'!$T$32,'206'!$T$34,'206'!$T$36,'206'!$T$38,'206'!$T$40</definedName>
    <definedName name="OSRRefT22x_0" localSheetId="48">'300'!$T$111:$T$120,'300'!$T$122:$T$128,'300'!$T$130,'300'!$T$132,'300'!$T$134,'300'!$T$136:$T$137,'300'!$T$139:$T$140,'300'!$T$142,'300'!$T$144,'300'!$T$146:$T$147,'300'!$T$149,'300'!$T$151,'300'!$T$153:$T$154,'300'!$T$156,'300'!$T$158:$T$161,'300'!$T$163:$T$165,'300'!$T$167:$T$170,'300'!$T$172:$T$173,'300'!$T$175:$T$180,'300'!$T$182:$T$183,'300'!$T$185,'300'!$T$187:$T$189,'300'!$T$191</definedName>
    <definedName name="OSRRefT22x_0" localSheetId="49">'300 &amp; 317'!$T$133:$T$142,'300 &amp; 317'!$T$144:$T$150,'300 &amp; 317'!$T$152,'300 &amp; 317'!$T$154,'300 &amp; 317'!$T$156,'300 &amp; 317'!$T$158:$T$159,'300 &amp; 317'!$T$161:$T$162,'300 &amp; 317'!$T$164,'300 &amp; 317'!$T$166,'300 &amp; 317'!$T$168:$T$169,'300 &amp; 317'!$T$171,'300 &amp; 317'!$T$173,'300 &amp; 317'!$T$175:$T$176,'300 &amp; 317'!$T$178,'300 &amp; 317'!$T$180:$T$183,'300 &amp; 317'!$T$185:$T$187,'300 &amp; 317'!$T$189:$T$192,'300 &amp; 317'!$T$194:$T$195,'300 &amp; 317'!$T$197:$T$202,'300 &amp; 317'!$T$204:$T$205,'300 &amp; 317'!$T$207,'300 &amp; 317'!$T$209:$T$211,'300 &amp; 317'!$T$213</definedName>
    <definedName name="OSRRefT22x_0" localSheetId="50">'301'!$T$20:$T$29,'301'!$T$31:$T$37,'301'!$T$39,'301'!$T$41,'301'!$T$43,'301'!$T$45:$T$46,'301'!$T$48,'301'!$T$50,'301'!$T$52,'301'!$T$54,'301'!$T$56,'301'!$T$58,'301'!$T$60,'301'!$T$62:$T$65,'301'!$T$67:$T$69,'301'!$T$71:$T$75,'301'!$T$77,'301'!$T$79,'301'!$T$81:$T$82,'301'!$T$84</definedName>
    <definedName name="OSRRefT22x_0" localSheetId="52">'307'!$T$39:$T$41,'307'!$T$43:$T$44,'307'!$T$46,'307'!$T$48,'307'!$T$50:$T$51,'307'!$T$53,'307'!$T$55,'307'!$T$57,'307'!$T$59:$T$60,'307'!$T$62:$T$63,'307'!$T$65:$T$67,'307'!$T$69</definedName>
    <definedName name="OSRRefT22x_0" localSheetId="53">'308'!$T$54:$T$62,'308'!$T$64:$T$70,'308'!$T$72,'308'!$T$74,'308'!$T$76,'308'!$T$78,'308'!$T$80,'308'!$T$82,'308'!$T$84,'308'!$T$86:$T$87,'308'!$T$89,'308'!$T$91:$T$92,'308'!$T$94:$T$95,'308'!$T$97</definedName>
    <definedName name="OSRRefT22x_0" localSheetId="65">'309'!$T$20,'309'!$T$22:$T$23,'309'!$T$25:$T$26,'309'!$T$28</definedName>
    <definedName name="OSRRefT22x_0" localSheetId="64">'310'!$T$30:$T$37,'310'!$T$39:$T$41,'310'!$T$43,'310'!$T$45,'310'!$T$47,'310'!$T$49:$T$50,'310'!$T$52,'310'!$T$54,'310'!$T$56,'310'!$T$58,'310'!$T$60:$T$61,'310'!$T$63:$T$65,'310'!$T$67:$T$70,'310'!$T$72,'310'!$T$74</definedName>
    <definedName name="OSRRefT22x_0" localSheetId="72">'310 &amp; 491'!$T$33:$T$40,'310 &amp; 491'!$T$42:$T$46,'310 &amp; 491'!$T$48,'310 &amp; 491'!$T$50,'310 &amp; 491'!$T$52,'310 &amp; 491'!$T$54:$T$55,'310 &amp; 491'!$T$57,'310 &amp; 491'!$T$59,'310 &amp; 491'!$T$61,'310 &amp; 491'!$T$63,'310 &amp; 491'!$T$65,'310 &amp; 491'!$T$67,'310 &amp; 491'!$T$69,'310 &amp; 491'!$T$71:$T$73,'310 &amp; 491'!$T$75:$T$78,'310 &amp; 491'!$T$80,'310 &amp; 491'!$T$82:$T$88,'310 &amp; 491'!$T$90,'310 &amp; 491'!$T$92,'310 &amp; 491'!$T$94</definedName>
    <definedName name="OSRRefT22x_0" localSheetId="54">'311'!$T$54:$T$62,'311'!$T$64:$T$70,'311'!$T$72,'311'!$T$74,'311'!$T$76,'311'!$T$78,'311'!$T$80,'311'!$T$82,'311'!$T$84,'311'!$T$86:$T$87,'311'!$T$89,'311'!$T$91:$T$92,'311'!$T$94:$T$95,'311'!$T$97</definedName>
    <definedName name="OSRRefT22x_0" localSheetId="66">'313'!$T$25:$T$32,'313'!$T$34,'313'!$T$36,'313'!$T$38,'313'!$T$40,'313'!$T$42</definedName>
    <definedName name="OSRRefT22x_0" localSheetId="57">'315'!$T$78:$T$85,'315'!$T$87:$T$91,'315'!$T$93,'315'!$T$95:$T$96,'315'!$T$98,'315'!$T$100:$T$101,'315'!$T$103:$T$104,'315'!$T$106:$T$107,'315'!$T$109:$T$110,'315'!$T$112:$T$114,'315'!$T$116,'315'!$T$118</definedName>
    <definedName name="OSRRefT22x_0" localSheetId="60">'316'!$T$31:$T$38,'316'!$T$40:$T$42,'316'!$T$44,'316'!$T$46,'316'!$T$48,'316'!$T$50:$T$51,'316'!$T$53:$T$54,'316'!$T$56,'316'!$T$58:$T$62,'316'!$T$64,'316'!$T$66</definedName>
    <definedName name="OSRRefT22x_0" localSheetId="62">'317'!$T$50:$T$58,'317'!$T$60:$T$63,'317'!$T$65,'317'!$T$67,'317'!$T$69,'317'!$T$71:$T$72,'317'!$T$74,'317'!$T$76,'317'!$T$78:$T$80,'317'!$T$82</definedName>
    <definedName name="OSRRefT22x_0" localSheetId="63">'320'!$T$22:$T$23,'320'!$T$25,'320'!$T$27</definedName>
    <definedName name="OSRRefT22x_0" localSheetId="67">'321'!$T$23:$T$30,'321'!$T$32:$T$34,'321'!$T$36,'321'!$T$38,'321'!$T$40,'321'!$T$42,'321'!$T$44:$T$45,'321'!$T$47,'321'!$T$49:$T$52,'321'!$T$54,'321'!$T$56</definedName>
    <definedName name="OSRRefT22x_0" localSheetId="68">'322'!$T$21:$T$25,'322'!$T$27,'322'!$T$29,'322'!$T$31,'322'!$T$33:$T$34,'322'!$T$36,'322'!$T$38</definedName>
    <definedName name="OSRRefT22x_0" localSheetId="69">'325'!$T$24:$T$30,'325'!$T$32:$T$34,'325'!$T$36,'325'!$T$38,'325'!$T$40,'325'!$T$42:$T$43,'325'!$T$45,'325'!$T$47,'325'!$T$49,'325'!$T$51:$T$52,'325'!$T$54:$T$56,'325'!$T$58:$T$60,'325'!$T$62,'325'!$T$64</definedName>
    <definedName name="OSRRefT22x_0" localSheetId="58">'326'!$T$41:$T$48,'326'!$T$50:$T$54,'326'!$T$56,'326'!$T$58,'326'!$T$60,'326'!$T$62,'326'!$T$64,'326'!$T$66,'326'!$T$68,'326'!$T$70,'326'!$T$72:$T$73,'326'!$T$75,'326'!$T$77:$T$79,'326'!$T$81,'326'!$T$83,'326'!$T$85</definedName>
    <definedName name="OSRRefT22x_0" localSheetId="51">'330'!$T$43:$T$46,'330'!$T$48:$T$49,'330'!$T$51,'330'!$T$53,'330'!$T$55:$T$56,'330'!$T$58:$T$59,'330'!$T$61,'330'!$T$63,'330'!$T$65:$T$66,'330'!$T$68:$T$69,'330'!$T$71:$T$73,'330'!$T$75</definedName>
    <definedName name="OSRRefT22x_0" localSheetId="56">'331'!$T$78:$T$85,'331'!$T$87:$T$91,'331'!$T$93,'331'!$T$95,'331'!$T$97,'331'!$T$99:$T$100,'331'!$T$102,'331'!$T$104:$T$105,'331'!$T$107,'331'!$T$109:$T$110,'331'!$T$112,'331'!$T$114:$T$115,'331'!$T$117:$T$118,'331'!$T$120:$T$121,'331'!$T$123,'331'!$T$125:$T$128,'331'!$T$130,'331'!$T$132,'331'!$T$134</definedName>
    <definedName name="OSRRefT22x_0" localSheetId="59">'332'!$T$33:$T$40,'332'!$T$42:$T$44,'332'!$T$46,'332'!$T$48,'332'!$T$50,'332'!$T$52:$T$53,'332'!$T$55:$T$56,'332'!$T$58,'332'!$T$60:$T$64,'332'!$T$66,'332'!$T$68</definedName>
    <definedName name="OSRRefT22x_0" localSheetId="74">'405'!$T$24:$T$31,'405'!$T$33:$T$36,'405'!$T$38,'405'!$T$40,'405'!$T$42,'405'!$T$44:$T$45,'405'!$T$47,'405'!$T$49,'405'!$T$51:$T$52,'405'!$T$54:$T$56,'405'!$T$58,'405'!$T$60</definedName>
    <definedName name="OSRRefT22x_0" localSheetId="75">'406'!$T$20,'406'!$T$22,'406'!$T$24,'406'!$T$26,'406'!$T$28</definedName>
    <definedName name="OSRRefT22x_0" localSheetId="76">'411'!$T$20:$T$27,'411'!$T$29:$T$32,'411'!$T$34,'411'!$T$36:$T$37,'411'!$T$39,'411'!$T$41,'411'!$T$43,'411'!$T$45,'411'!$T$47:$T$49,'411'!$T$51:$T$52,'411'!$T$54,'411'!$T$56,'411'!$T$58,'411'!$T$60</definedName>
    <definedName name="OSRRefT22x_0" localSheetId="77">'412'!$T$20,'412'!$T$22,'412'!$T$24,'412'!$T$26,'412'!$T$28</definedName>
    <definedName name="OSRRefT22x_0" localSheetId="78">'413'!$T$20:$T$24,'413'!$T$26,'413'!$T$28,'413'!$T$30,'413'!$T$32,'413'!$T$34</definedName>
    <definedName name="OSRRefT22x_0" localSheetId="79">'414'!$T$21,'414'!$T$23,'414'!$T$25,'414'!$T$27</definedName>
    <definedName name="OSRRefT22x_0" localSheetId="80">'415'!$T$24:$T$31,'415'!$T$33:$T$36,'415'!$T$38,'415'!$T$40,'415'!$T$42,'415'!$T$44:$T$45,'415'!$T$47,'415'!$T$49,'415'!$T$51,'415'!$T$53,'415'!$T$55:$T$56,'415'!$T$58:$T$61,'415'!$T$63,'415'!$T$65:$T$70,'415'!$T$72,'415'!$T$74</definedName>
    <definedName name="OSRRefT22x_0" localSheetId="81">'418'!$T$21:$T$28,'418'!$T$30:$T$33,'418'!$T$35,'418'!$T$37,'418'!$T$39:$T$40,'418'!$T$42,'418'!$T$44,'418'!$T$46:$T$47,'418'!$T$49,'418'!$T$51:$T$53,'418'!$T$55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'425'!$T$21:$T$25,'425'!$T$27,'425'!$T$29,'425'!$T$31,'425'!$T$33</definedName>
    <definedName name="OSRRefT22x_0" localSheetId="87">'430'!$T$20:$T$27,'430'!$T$29,'430'!$T$31,'430'!$T$33,'430'!$T$35:$T$36,'430'!$T$38,'430'!$T$40</definedName>
    <definedName name="OSRRefT22x_0" localSheetId="88">'433'!$T$25:$T$33,'433'!$T$35:$T$38,'433'!$T$40,'433'!$T$42,'433'!$T$44,'433'!$T$46,'433'!$T$48,'433'!$T$50,'433'!$T$52,'433'!$T$54,'433'!$T$56,'433'!$T$58:$T$60,'433'!$T$62:$T$66,'433'!$T$68</definedName>
    <definedName name="OSRRefT22x_0" localSheetId="89">'435'!$T$20</definedName>
    <definedName name="OSRRefT22x_0" localSheetId="90">'444'!$T$25:$T$33,'444'!$T$35:$T$39,'444'!$T$41,'444'!$T$43,'444'!$T$45,'444'!$T$47,'444'!$T$49,'444'!$T$51,'444'!$T$53,'444'!$T$55,'444'!$T$57:$T$58,'444'!$T$60:$T$62,'444'!$T$64:$T$69,'444'!$T$71,'444'!$T$73</definedName>
    <definedName name="OSRRefT22x_0" localSheetId="91">'450'!$T$24:$T$32,'450'!$T$34:$T$37,'450'!$T$39,'450'!$T$41,'450'!$T$43,'450'!$T$45,'450'!$T$47,'450'!$T$49,'450'!$T$51,'450'!$T$53,'450'!$T$55:$T$56,'450'!$T$58:$T$61,'450'!$T$63</definedName>
    <definedName name="OSRRefT22x_0" localSheetId="73">'491'!$T$25:$T$32,'491'!$T$34:$T$38,'491'!$T$40,'491'!$T$42,'491'!$T$44,'491'!$T$46:$T$47,'491'!$T$49,'491'!$T$51,'491'!$T$53,'491'!$T$55,'491'!$T$57,'491'!$T$59,'491'!$T$61:$T$63,'491'!$T$65:$T$68,'491'!$T$70,'491'!$T$72:$T$78,'491'!$T$80,'491'!$T$82,'491'!$T$84</definedName>
    <definedName name="OSRRefT22x_0" localSheetId="86">'492'!$T$25:$T$33,'492'!$T$35:$T$40,'492'!$T$42,'492'!$T$44,'492'!$T$46,'492'!$T$48,'492'!$T$50,'492'!$T$52,'492'!$T$54,'492'!$T$56,'492'!$T$58,'492'!$T$60:$T$62,'492'!$T$64:$T$66,'492'!$T$68:$T$73,'492'!$T$75,'492'!$T$77,'492'!$T$79</definedName>
    <definedName name="OSRRefT22x_0" localSheetId="93">'501'!$T$21:$T$28,'501'!$T$30:$T$34,'501'!$T$36,'501'!$T$38,'501'!$T$40,'501'!$T$42,'501'!$T$44,'501'!$T$46,'501'!$T$48,'501'!$T$50</definedName>
    <definedName name="OSRRefT22x_0" localSheetId="39">'Div 2'!$T$20:$T$29,'Div 2'!$T$31:$T$36,'Div 2'!$T$38,'Div 2'!$T$40,'Div 2'!$T$42,'Div 2'!$T$44,'Div 2'!$T$46,'Div 2'!$T$48,'Div 2'!$T$50:$T$51,'Div 2'!$T$53,'Div 2'!$T$55,'Div 2'!$T$57:$T$59,'Div 2'!$T$61:$T$63,'Div 2'!$T$65,'Div 2'!$T$67,'Div 2'!$T$69:$T$73,'Div 2'!$T$75:$T$76,'Div 2'!$T$78,'Div 2'!$T$80</definedName>
    <definedName name="OSRRefT22x_0" localSheetId="47">'Div 3'!$T$115:$T$124,'Div 3'!$T$126:$T$132,'Div 3'!$T$134,'Div 3'!$T$136,'Div 3'!$T$138,'Div 3'!$T$140:$T$141,'Div 3'!$T$143:$T$144,'Div 3'!$T$146,'Div 3'!$T$148,'Div 3'!$T$150:$T$151,'Div 3'!$T$153,'Div 3'!$T$155,'Div 3'!$T$157,'Div 3'!$T$159:$T$160,'Div 3'!$T$162,'Div 3'!$T$164:$T$167,'Div 3'!$T$169:$T$171,'Div 3'!$T$173:$T$177,'Div 3'!$T$179:$T$180,'Div 3'!$T$182:$T$187,'Div 3'!$T$189:$T$190,'Div 3'!$T$192,'Div 3'!$T$194:$T$196,'Div 3'!$T$198</definedName>
    <definedName name="OSRRefT22x_0" localSheetId="71">'Div 4'!$T$27:$T$35,'Div 4'!$T$37:$T$42,'Div 4'!$T$44,'Div 4'!$T$46,'Div 4'!$T$48,'Div 4'!$T$50:$T$51,'Div 4'!$T$53,'Div 4'!$T$55,'Div 4'!$T$57,'Div 4'!$T$59,'Div 4'!$T$61,'Div 4'!$T$63,'Div 4'!$T$65,'Div 4'!$T$67,'Div 4'!$T$69:$T$71,'Div 4'!$T$73:$T$76,'Div 4'!$T$78,'Div 4'!$T$80:$T$87,'Div 4'!$T$89,'Div 4'!$T$91,'Div 4'!$T$93:$T$94,'Div 4'!$T$96</definedName>
    <definedName name="OSRRefT22x_0" localSheetId="92">'Div 5'!$T$21:$T$28,'Div 5'!$T$30:$T$34,'Div 5'!$T$36,'Div 5'!$T$38,'Div 5'!$T$40,'Div 5'!$T$42,'Div 5'!$T$44,'Div 5'!$T$46,'Div 5'!$T$48,'Div 5'!$T$50</definedName>
    <definedName name="OSRRefT22x_0" localSheetId="61">'Div 6'!$T$50:$T$58,'Div 6'!$T$60:$T$63,'Div 6'!$T$65,'Div 6'!$T$67,'Div 6'!$T$69,'Div 6'!$T$71:$T$72,'Div 6'!$T$74,'Div 6'!$T$76,'Div 6'!$T$78:$T$80,'Div 6'!$T$82</definedName>
    <definedName name="OSRRefT22x_0" localSheetId="2">Summary!$T$141:$T$150,Summary!$T$152:$T$158,Summary!$T$160,Summary!$T$162,Summary!$T$164,Summary!$T$166:$T$167,Summary!$T$169:$T$170,Summary!$T$172,Summary!$T$174,Summary!$T$176,Summary!$T$178:$T$179,Summary!$T$181,Summary!$T$183,Summary!$T$185,Summary!$T$187:$T$188,Summary!$T$190,Summary!$T$192,Summary!$T$194:$T$197,Summary!$T$199:$T$201,Summary!$T$203:$T$207,Summary!$T$209:$T$210,Summary!$T$212:$T$220,Summary!$T$222:$T$223,Summary!$T$225,Summary!$T$227:$T$229,Summary!$T$231</definedName>
    <definedName name="OSRRefT25x_0" localSheetId="48">'300'!$T$194:$T$197</definedName>
    <definedName name="OSRRefT25x_0" localSheetId="49">'300 &amp; 317'!$T$216:$T$221</definedName>
    <definedName name="OSRRefT25x_0" localSheetId="50">'301'!$T$87</definedName>
    <definedName name="OSRRefT25x_0" localSheetId="53">'308'!$T$100:$T$102</definedName>
    <definedName name="OSRRefT25x_0" localSheetId="72">'310 &amp; 491'!$T$97:$T$99</definedName>
    <definedName name="OSRRefT25x_0" localSheetId="54">'311'!$T$100:$T$102</definedName>
    <definedName name="OSRRefT25x_0" localSheetId="57">'315'!$T$121:$T$122</definedName>
    <definedName name="OSRRefT25x_0" localSheetId="60">'316'!$T$69</definedName>
    <definedName name="OSRRefT25x_0" localSheetId="62">'317'!$T$85:$T$87</definedName>
    <definedName name="OSRRefT25x_0" localSheetId="63">'320'!$T$30</definedName>
    <definedName name="OSRRefT25x_0" localSheetId="56">'331'!$T$137:$T$138</definedName>
    <definedName name="OSRRefT25x_0" localSheetId="59">'332'!$T$71:$T$72</definedName>
    <definedName name="OSRRefT25x_0" localSheetId="76">'411'!$T$63:$T$64</definedName>
    <definedName name="OSRRefT25x_0" localSheetId="80">'415'!$T$77</definedName>
    <definedName name="OSRRefT25x_0" localSheetId="81">'418'!$T$58</definedName>
    <definedName name="OSRRefT25x_0" localSheetId="85">'455'!$T$21:$T$22</definedName>
    <definedName name="OSRRefT25x_0" localSheetId="73">'491'!$T$87:$T$89</definedName>
    <definedName name="OSRRefT25x_0" localSheetId="93">'501'!$T$53</definedName>
    <definedName name="OSRRefT25x_0" localSheetId="47">'Div 3'!$T$201:$T$204</definedName>
    <definedName name="OSRRefT25x_0" localSheetId="71">'Div 4'!$T$99:$T$101</definedName>
    <definedName name="OSRRefT25x_0" localSheetId="92">'Div 5'!$T$53</definedName>
    <definedName name="OSRRefT25x_0" localSheetId="61">'Div 6'!$T$85:$T$87</definedName>
    <definedName name="OSRRefT25x_0" localSheetId="2">Summary!$T$234:$T$241</definedName>
    <definedName name="_xlnm.Print_Area" localSheetId="38">'100'!$A$1:$Z$34</definedName>
    <definedName name="_xlnm.Print_Area" localSheetId="40">'200'!$A$1:$Z$40</definedName>
    <definedName name="_xlnm.Print_Area" localSheetId="41">'201'!$A$1:$Z$66</definedName>
    <definedName name="_xlnm.Print_Area" localSheetId="42">'202'!$A$1:$Z$68</definedName>
    <definedName name="_xlnm.Print_Area" localSheetId="43">'203'!$A$1:$Z$70</definedName>
    <definedName name="_xlnm.Print_Area" localSheetId="44">'204'!$A$1:$Z$59</definedName>
    <definedName name="_xlnm.Print_Area" localSheetId="45">'205'!$A$1:$Z$52</definedName>
    <definedName name="_xlnm.Print_Area" localSheetId="46">'206'!$A$1:$Z$54</definedName>
    <definedName name="_xlnm.Print_Area" localSheetId="48">'300'!$A$1:$Z$209</definedName>
    <definedName name="_xlnm.Print_Area" localSheetId="49">'300 &amp; 317'!$A$1:$Z$233</definedName>
    <definedName name="_xlnm.Print_Area" localSheetId="50">'301'!$A$1:$Z$99</definedName>
    <definedName name="_xlnm.Print_Area" localSheetId="52">'307'!$A$1:$Z$83</definedName>
    <definedName name="_xlnm.Print_Area" localSheetId="53">'308'!$A$1:$Z$114</definedName>
    <definedName name="_xlnm.Print_Area" localSheetId="65">'309'!$A$1:$Z$42</definedName>
    <definedName name="_xlnm.Print_Area" localSheetId="64">'310'!$A$1:$Z$88</definedName>
    <definedName name="_xlnm.Print_Area" localSheetId="72">'310 &amp; 491'!$A$1:$Z$111</definedName>
    <definedName name="_xlnm.Print_Area" localSheetId="54">'311'!$A$1:$Z$114</definedName>
    <definedName name="_xlnm.Print_Area" localSheetId="66">'313'!$A$1:$Z$56</definedName>
    <definedName name="_xlnm.Print_Area" localSheetId="57">'315'!$A$1:$Z$134</definedName>
    <definedName name="_xlnm.Print_Area" localSheetId="60">'316'!$A$1:$Z$81</definedName>
    <definedName name="_xlnm.Print_Area" localSheetId="62">'317'!$A$1:$Z$99</definedName>
    <definedName name="_xlnm.Print_Area" localSheetId="63">'320'!$A$1:$Z$42</definedName>
    <definedName name="_xlnm.Print_Area" localSheetId="67">'321'!$A$1:$Z$70</definedName>
    <definedName name="_xlnm.Print_Area" localSheetId="68">'322'!$A$1:$Z$52</definedName>
    <definedName name="_xlnm.Print_Area" localSheetId="55">'324'!$A$1:$Z$39</definedName>
    <definedName name="_xlnm.Print_Area" localSheetId="69">'325'!$A$1:$Z$78</definedName>
    <definedName name="_xlnm.Print_Area" localSheetId="58">'326'!$A$1:$Z$99</definedName>
    <definedName name="_xlnm.Print_Area" localSheetId="70">'327'!$A$1:$Z$35</definedName>
    <definedName name="_xlnm.Print_Area" localSheetId="51">'330'!$A$1:$Z$89</definedName>
    <definedName name="_xlnm.Print_Area" localSheetId="56">'331'!$A$1:$Z$150</definedName>
    <definedName name="_xlnm.Print_Area" localSheetId="59">'332'!$A$1:$Z$84</definedName>
    <definedName name="_xlnm.Print_Area" localSheetId="74">'405'!$A$1:$Z$74</definedName>
    <definedName name="_xlnm.Print_Area" localSheetId="75">'406'!$A$1:$Z$42</definedName>
    <definedName name="_xlnm.Print_Area" localSheetId="76">'411'!$A$1:$Z$76</definedName>
    <definedName name="_xlnm.Print_Area" localSheetId="77">'412'!$A$1:$Z$42</definedName>
    <definedName name="_xlnm.Print_Area" localSheetId="78">'413'!$A$1:$Z$48</definedName>
    <definedName name="_xlnm.Print_Area" localSheetId="79">'414'!$A$1:$Z$41</definedName>
    <definedName name="_xlnm.Print_Area" localSheetId="80">'415'!$A$1:$Z$89</definedName>
    <definedName name="_xlnm.Print_Area" localSheetId="81">'418'!$A$1:$Z$70</definedName>
    <definedName name="_xlnm.Print_Area" localSheetId="82">'423'!$A$1:$Z$41</definedName>
    <definedName name="_xlnm.Print_Area" localSheetId="83">'424'!$A$1:$Z$40</definedName>
    <definedName name="_xlnm.Print_Area" localSheetId="84">'425'!$A$1:$Z$47</definedName>
    <definedName name="_xlnm.Print_Area" localSheetId="87">'430'!$A$1:$Z$54</definedName>
    <definedName name="_xlnm.Print_Area" localSheetId="88">'433'!$A$1:$Z$82</definedName>
    <definedName name="_xlnm.Print_Area" localSheetId="89">'435'!$A$1:$Z$34</definedName>
    <definedName name="_xlnm.Print_Area" localSheetId="90">'444'!$A$1:$Z$87</definedName>
    <definedName name="_xlnm.Print_Area" localSheetId="91">'450'!$A$1:$Z$77</definedName>
    <definedName name="_xlnm.Print_Area" localSheetId="85">'455'!$A$1:$Z$34</definedName>
    <definedName name="_xlnm.Print_Area" localSheetId="73">'491'!$A$1:$Z$101</definedName>
    <definedName name="_xlnm.Print_Area" localSheetId="86">'492'!$A$1:$Z$93</definedName>
    <definedName name="_xlnm.Print_Area" localSheetId="93">'501'!$A$1:$Z$65</definedName>
    <definedName name="_xlnm.Print_Area" localSheetId="94">Dept!$A$1:$Z$39</definedName>
    <definedName name="_xlnm.Print_Area" localSheetId="5">'Div 1'!$A$1:$Z$34</definedName>
    <definedName name="_xlnm.Print_Area" localSheetId="39">'Div 2'!$A$1:$Z$94</definedName>
    <definedName name="_xlnm.Print_Area" localSheetId="47">'Div 3'!$A$1:$Z$216</definedName>
    <definedName name="_xlnm.Print_Area" localSheetId="71">'Div 4'!$A$1:$Z$113</definedName>
    <definedName name="_xlnm.Print_Area" localSheetId="92">'Div 5'!$A$1:$Z$65</definedName>
    <definedName name="_xlnm.Print_Area" localSheetId="61">'Div 6'!$A$1:$Z$99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Summary!$A$1:$Z$255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5">'309'!$A:$C,'309'!$1:$10</definedName>
    <definedName name="_xlnm.Print_Titles" localSheetId="64">'310'!$A:$C,'310'!$1:$10</definedName>
    <definedName name="_xlnm.Print_Titles" localSheetId="72">'310 &amp; 491'!$A:$C,'310 &amp; 491'!$1:$10</definedName>
    <definedName name="_xlnm.Print_Titles" localSheetId="54">'311'!$A:$C,'311'!$1:$10</definedName>
    <definedName name="_xlnm.Print_Titles" localSheetId="66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3">'320'!$A:$C,'320'!$1:$10</definedName>
    <definedName name="_xlnm.Print_Titles" localSheetId="67">'321'!$A:$C,'321'!$1:$10</definedName>
    <definedName name="_xlnm.Print_Titles" localSheetId="68">'322'!$A:$C,'322'!$1:$10</definedName>
    <definedName name="_xlnm.Print_Titles" localSheetId="55">'324'!$A:$C,'324'!$1:$10</definedName>
    <definedName name="_xlnm.Print_Titles" localSheetId="69">'325'!$A:$C,'325'!$1:$10</definedName>
    <definedName name="_xlnm.Print_Titles" localSheetId="58">'326'!$A:$C,'326'!$1:$10</definedName>
    <definedName name="_xlnm.Print_Titles" localSheetId="70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4">'405'!$A:$C,'405'!$1:$10</definedName>
    <definedName name="_xlnm.Print_Titles" localSheetId="75">'406'!$A:$C,'406'!$1:$10</definedName>
    <definedName name="_xlnm.Print_Titles" localSheetId="76">'411'!$A:$C,'411'!$1:$10</definedName>
    <definedName name="_xlnm.Print_Titles" localSheetId="77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3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1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9" l="1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P12" i="99"/>
  <c r="R20" i="99" s="1"/>
  <c r="H12" i="99"/>
  <c r="D12" i="99"/>
  <c r="F34" i="99" s="1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N21" i="98" s="1"/>
  <c r="D21" i="98"/>
  <c r="B21" i="98"/>
  <c r="T20" i="98"/>
  <c r="Z20" i="98" s="1"/>
  <c r="P20" i="98"/>
  <c r="H20" i="98"/>
  <c r="D20" i="98"/>
  <c r="T16" i="98"/>
  <c r="Z16" i="98" s="1"/>
  <c r="P16" i="98"/>
  <c r="H16" i="98"/>
  <c r="N16" i="98" s="1"/>
  <c r="D16" i="98"/>
  <c r="B16" i="98"/>
  <c r="T15" i="98"/>
  <c r="Z15" i="98" s="1"/>
  <c r="P15" i="98"/>
  <c r="H15" i="98"/>
  <c r="D15" i="98"/>
  <c r="T13" i="98"/>
  <c r="Z13" i="98" s="1"/>
  <c r="P13" i="98"/>
  <c r="H13" i="98"/>
  <c r="N13" i="98" s="1"/>
  <c r="D13" i="98"/>
  <c r="B13" i="98"/>
  <c r="T12" i="98"/>
  <c r="V24" i="98" s="1"/>
  <c r="P12" i="98"/>
  <c r="H12" i="98"/>
  <c r="J34" i="98" s="1"/>
  <c r="D12" i="98"/>
  <c r="F20" i="98" s="1"/>
  <c r="D6" i="98"/>
  <c r="D5" i="98"/>
  <c r="D4" i="98"/>
  <c r="B39" i="97"/>
  <c r="B38" i="97"/>
  <c r="T34" i="97"/>
  <c r="P34" i="97"/>
  <c r="H34" i="97"/>
  <c r="N34" i="97" s="1"/>
  <c r="D34" i="97"/>
  <c r="T33" i="97"/>
  <c r="Z33" i="97" s="1"/>
  <c r="P33" i="97"/>
  <c r="H33" i="97"/>
  <c r="D33" i="97"/>
  <c r="T29" i="97"/>
  <c r="Z29" i="97" s="1"/>
  <c r="P29" i="97"/>
  <c r="H29" i="97"/>
  <c r="N29" i="97" s="1"/>
  <c r="D29" i="97"/>
  <c r="T25" i="97"/>
  <c r="Z25" i="97" s="1"/>
  <c r="P25" i="97"/>
  <c r="H25" i="97"/>
  <c r="N25" i="97" s="1"/>
  <c r="D25" i="97"/>
  <c r="B25" i="97"/>
  <c r="T24" i="97"/>
  <c r="Z24" i="97" s="1"/>
  <c r="P24" i="97"/>
  <c r="H24" i="97"/>
  <c r="D24" i="97"/>
  <c r="T22" i="97"/>
  <c r="Z22" i="97" s="1"/>
  <c r="P22" i="97"/>
  <c r="H22" i="97"/>
  <c r="N22" i="97" s="1"/>
  <c r="D22" i="97"/>
  <c r="B22" i="97"/>
  <c r="T21" i="97"/>
  <c r="Z21" i="97" s="1"/>
  <c r="P21" i="97"/>
  <c r="H21" i="97"/>
  <c r="N21" i="97" s="1"/>
  <c r="D21" i="97"/>
  <c r="B21" i="97"/>
  <c r="T20" i="97"/>
  <c r="P20" i="97"/>
  <c r="H20" i="97"/>
  <c r="N20" i="97" s="1"/>
  <c r="D20" i="97"/>
  <c r="T16" i="97"/>
  <c r="P16" i="97"/>
  <c r="H16" i="97"/>
  <c r="N16" i="97" s="1"/>
  <c r="D16" i="97"/>
  <c r="B16" i="97"/>
  <c r="T15" i="97"/>
  <c r="Z15" i="97" s="1"/>
  <c r="P15" i="97"/>
  <c r="H15" i="97"/>
  <c r="N15" i="97" s="1"/>
  <c r="D15" i="97"/>
  <c r="T13" i="97"/>
  <c r="Z13" i="97" s="1"/>
  <c r="P13" i="97"/>
  <c r="H13" i="97"/>
  <c r="N13" i="97" s="1"/>
  <c r="D13" i="97"/>
  <c r="B13" i="97"/>
  <c r="T12" i="97"/>
  <c r="P12" i="97"/>
  <c r="R21" i="97" s="1"/>
  <c r="H12" i="97"/>
  <c r="D12" i="97"/>
  <c r="F31" i="97" s="1"/>
  <c r="D6" i="97"/>
  <c r="D5" i="97"/>
  <c r="D4" i="97"/>
  <c r="X57" i="96"/>
  <c r="Z57" i="96" s="1"/>
  <c r="L57" i="96"/>
  <c r="N57" i="96" s="1"/>
  <c r="J57" i="96"/>
  <c r="T53" i="96"/>
  <c r="P53" i="96"/>
  <c r="H53" i="96"/>
  <c r="D53" i="96"/>
  <c r="B53" i="96"/>
  <c r="P52" i="96"/>
  <c r="Z50" i="96"/>
  <c r="X50" i="96"/>
  <c r="L50" i="96"/>
  <c r="N50" i="96" s="1"/>
  <c r="B50" i="96"/>
  <c r="X49" i="96"/>
  <c r="Z49" i="96" s="1"/>
  <c r="T49" i="96"/>
  <c r="P49" i="96"/>
  <c r="H49" i="96"/>
  <c r="D49" i="96"/>
  <c r="B49" i="96"/>
  <c r="Z48" i="96"/>
  <c r="X48" i="96"/>
  <c r="V48" i="96"/>
  <c r="N48" i="96"/>
  <c r="L48" i="96"/>
  <c r="B48" i="96"/>
  <c r="T47" i="96"/>
  <c r="P47" i="96"/>
  <c r="H47" i="96"/>
  <c r="D47" i="96"/>
  <c r="L47" i="96" s="1"/>
  <c r="B47" i="96"/>
  <c r="Z46" i="96"/>
  <c r="X46" i="96"/>
  <c r="N46" i="96"/>
  <c r="L46" i="96"/>
  <c r="B46" i="96"/>
  <c r="T45" i="96"/>
  <c r="Z45" i="96" s="1"/>
  <c r="P45" i="96"/>
  <c r="N45" i="96"/>
  <c r="H45" i="96"/>
  <c r="D45" i="96"/>
  <c r="L45" i="96" s="1"/>
  <c r="B45" i="96"/>
  <c r="Z44" i="96"/>
  <c r="X44" i="96"/>
  <c r="N44" i="96"/>
  <c r="L44" i="96"/>
  <c r="F44" i="96"/>
  <c r="B44" i="96"/>
  <c r="T43" i="96"/>
  <c r="Z43" i="96" s="1"/>
  <c r="P43" i="96"/>
  <c r="X43" i="96" s="1"/>
  <c r="N43" i="96"/>
  <c r="L43" i="96"/>
  <c r="H43" i="96"/>
  <c r="D43" i="96"/>
  <c r="B43" i="96"/>
  <c r="Z42" i="96"/>
  <c r="X42" i="96"/>
  <c r="N42" i="96"/>
  <c r="L42" i="96"/>
  <c r="B42" i="96"/>
  <c r="X41" i="96"/>
  <c r="Z41" i="96" s="1"/>
  <c r="T41" i="96"/>
  <c r="P41" i="96"/>
  <c r="L41" i="96"/>
  <c r="J41" i="96"/>
  <c r="H41" i="96"/>
  <c r="D41" i="96"/>
  <c r="B41" i="96"/>
  <c r="Z40" i="96"/>
  <c r="X40" i="96"/>
  <c r="N40" i="96"/>
  <c r="L40" i="96"/>
  <c r="B40" i="96"/>
  <c r="V39" i="96"/>
  <c r="T39" i="96"/>
  <c r="P39" i="96"/>
  <c r="H39" i="96"/>
  <c r="D39" i="96"/>
  <c r="B39" i="96"/>
  <c r="Z38" i="96"/>
  <c r="X38" i="96"/>
  <c r="N38" i="96"/>
  <c r="L38" i="96"/>
  <c r="B38" i="96"/>
  <c r="T37" i="96"/>
  <c r="P37" i="96"/>
  <c r="H37" i="96"/>
  <c r="N37" i="96" s="1"/>
  <c r="D37" i="96"/>
  <c r="L37" i="96" s="1"/>
  <c r="B37" i="96"/>
  <c r="Z36" i="96"/>
  <c r="X36" i="96"/>
  <c r="N36" i="96"/>
  <c r="L36" i="96"/>
  <c r="F36" i="96"/>
  <c r="B36" i="96"/>
  <c r="T35" i="96"/>
  <c r="Z35" i="96" s="1"/>
  <c r="P35" i="96"/>
  <c r="X35" i="96" s="1"/>
  <c r="N35" i="96"/>
  <c r="L35" i="96"/>
  <c r="H35" i="96"/>
  <c r="D35" i="96"/>
  <c r="B35" i="96"/>
  <c r="Z34" i="96"/>
  <c r="X34" i="96"/>
  <c r="N34" i="96"/>
  <c r="L34" i="96"/>
  <c r="B34" i="96"/>
  <c r="Z33" i="96"/>
  <c r="X33" i="96"/>
  <c r="L33" i="96"/>
  <c r="N33" i="96" s="1"/>
  <c r="B33" i="96"/>
  <c r="Z32" i="96"/>
  <c r="X32" i="96"/>
  <c r="N32" i="96"/>
  <c r="L32" i="96"/>
  <c r="J32" i="96"/>
  <c r="B32" i="96"/>
  <c r="X31" i="96"/>
  <c r="Z31" i="96" s="1"/>
  <c r="L31" i="96"/>
  <c r="N31" i="96" s="1"/>
  <c r="B31" i="96"/>
  <c r="Z30" i="96"/>
  <c r="X30" i="96"/>
  <c r="V30" i="96"/>
  <c r="L30" i="96"/>
  <c r="N30" i="96" s="1"/>
  <c r="B30" i="96"/>
  <c r="X29" i="96"/>
  <c r="T29" i="96"/>
  <c r="P29" i="96"/>
  <c r="H29" i="96"/>
  <c r="D29" i="96"/>
  <c r="L29" i="96" s="1"/>
  <c r="B29" i="96"/>
  <c r="Z28" i="96"/>
  <c r="X28" i="96"/>
  <c r="N28" i="96"/>
  <c r="L28" i="96"/>
  <c r="B28" i="96"/>
  <c r="Z27" i="96"/>
  <c r="X27" i="96"/>
  <c r="L27" i="96"/>
  <c r="N27" i="96" s="1"/>
  <c r="B27" i="96"/>
  <c r="Z26" i="96"/>
  <c r="X26" i="96"/>
  <c r="L26" i="96"/>
  <c r="N26" i="96" s="1"/>
  <c r="B26" i="96"/>
  <c r="X25" i="96"/>
  <c r="Z25" i="96" s="1"/>
  <c r="R25" i="96"/>
  <c r="N25" i="96"/>
  <c r="L25" i="96"/>
  <c r="J25" i="96"/>
  <c r="B25" i="96"/>
  <c r="X24" i="96"/>
  <c r="Z24" i="96" s="1"/>
  <c r="V24" i="96"/>
  <c r="L24" i="96"/>
  <c r="N24" i="96" s="1"/>
  <c r="B24" i="96"/>
  <c r="Z23" i="96"/>
  <c r="X23" i="96"/>
  <c r="N23" i="96"/>
  <c r="L23" i="96"/>
  <c r="B23" i="96"/>
  <c r="Z22" i="96"/>
  <c r="X22" i="96"/>
  <c r="R22" i="96"/>
  <c r="L22" i="96"/>
  <c r="N22" i="96" s="1"/>
  <c r="B22" i="96"/>
  <c r="Z21" i="96"/>
  <c r="X21" i="96"/>
  <c r="V21" i="96"/>
  <c r="L21" i="96"/>
  <c r="N21" i="96" s="1"/>
  <c r="J21" i="96"/>
  <c r="B21" i="96"/>
  <c r="X20" i="96"/>
  <c r="T20" i="96"/>
  <c r="P20" i="96"/>
  <c r="N20" i="96"/>
  <c r="H20" i="96"/>
  <c r="L20" i="96" s="1"/>
  <c r="D20" i="96"/>
  <c r="B20" i="96"/>
  <c r="X19" i="96"/>
  <c r="Z19" i="96" s="1"/>
  <c r="V19" i="96"/>
  <c r="T19" i="96"/>
  <c r="P19" i="96"/>
  <c r="J19" i="96"/>
  <c r="H19" i="96"/>
  <c r="D19" i="96"/>
  <c r="Z15" i="96"/>
  <c r="X15" i="96"/>
  <c r="T15" i="96"/>
  <c r="V15" i="96" s="1"/>
  <c r="P15" i="96"/>
  <c r="J15" i="96"/>
  <c r="H15" i="96"/>
  <c r="N15" i="96" s="1"/>
  <c r="D15" i="96"/>
  <c r="Z13" i="96"/>
  <c r="X13" i="96"/>
  <c r="T13" i="96"/>
  <c r="P13" i="96"/>
  <c r="N13" i="96"/>
  <c r="L13" i="96"/>
  <c r="H13" i="96"/>
  <c r="D13" i="96"/>
  <c r="B13" i="96"/>
  <c r="T12" i="96"/>
  <c r="P12" i="96"/>
  <c r="R15" i="96" s="1"/>
  <c r="H12" i="96"/>
  <c r="D12" i="96"/>
  <c r="F31" i="96" s="1"/>
  <c r="D6" i="96"/>
  <c r="D4" i="96"/>
  <c r="V31" i="95"/>
  <c r="F31" i="95"/>
  <c r="Z26" i="95"/>
  <c r="X26" i="95"/>
  <c r="V26" i="95"/>
  <c r="N26" i="95"/>
  <c r="L26" i="95"/>
  <c r="V24" i="95"/>
  <c r="F24" i="95"/>
  <c r="T22" i="95"/>
  <c r="P22" i="95"/>
  <c r="P20" i="95" s="1"/>
  <c r="X20" i="95" s="1"/>
  <c r="N22" i="95"/>
  <c r="H22" i="95"/>
  <c r="D22" i="95"/>
  <c r="L22" i="95" s="1"/>
  <c r="B22" i="95"/>
  <c r="Z21" i="95"/>
  <c r="X21" i="95"/>
  <c r="T21" i="95"/>
  <c r="P21" i="95"/>
  <c r="J21" i="95"/>
  <c r="H21" i="95"/>
  <c r="D21" i="95"/>
  <c r="L21" i="95" s="1"/>
  <c r="B21" i="95"/>
  <c r="T20" i="95"/>
  <c r="D20" i="95"/>
  <c r="T18" i="95"/>
  <c r="Z18" i="95" s="1"/>
  <c r="P18" i="95"/>
  <c r="X18" i="95" s="1"/>
  <c r="L18" i="95"/>
  <c r="J18" i="95"/>
  <c r="H18" i="95"/>
  <c r="N18" i="95" s="1"/>
  <c r="D18" i="95"/>
  <c r="H16" i="95"/>
  <c r="N16" i="95" s="1"/>
  <c r="V14" i="95"/>
  <c r="T14" i="95"/>
  <c r="T16" i="95" s="1"/>
  <c r="P14" i="95"/>
  <c r="J14" i="95"/>
  <c r="H14" i="95"/>
  <c r="N14" i="95" s="1"/>
  <c r="D14" i="95"/>
  <c r="L14" i="95" s="1"/>
  <c r="T12" i="95"/>
  <c r="V28" i="95" s="1"/>
  <c r="P12" i="95"/>
  <c r="N12" i="95"/>
  <c r="H12" i="95"/>
  <c r="J26" i="95" s="1"/>
  <c r="D12" i="95"/>
  <c r="D6" i="95"/>
  <c r="D4" i="95"/>
  <c r="Z69" i="94"/>
  <c r="X69" i="94"/>
  <c r="N69" i="94"/>
  <c r="L69" i="94"/>
  <c r="X65" i="94"/>
  <c r="T65" i="94"/>
  <c r="Z65" i="94" s="1"/>
  <c r="P65" i="94"/>
  <c r="H65" i="94"/>
  <c r="N65" i="94" s="1"/>
  <c r="D65" i="94"/>
  <c r="X63" i="94"/>
  <c r="Z63" i="94" s="1"/>
  <c r="L63" i="94"/>
  <c r="N63" i="94" s="1"/>
  <c r="B63" i="94"/>
  <c r="X62" i="94"/>
  <c r="Z62" i="94" s="1"/>
  <c r="T62" i="94"/>
  <c r="P62" i="94"/>
  <c r="H62" i="94"/>
  <c r="D62" i="94"/>
  <c r="B62" i="94"/>
  <c r="Z61" i="94"/>
  <c r="X61" i="94"/>
  <c r="N61" i="94"/>
  <c r="L61" i="94"/>
  <c r="B61" i="94"/>
  <c r="Z60" i="94"/>
  <c r="X60" i="94"/>
  <c r="L60" i="94"/>
  <c r="N60" i="94" s="1"/>
  <c r="J60" i="94"/>
  <c r="B60" i="94"/>
  <c r="Z59" i="94"/>
  <c r="X59" i="94"/>
  <c r="N59" i="94"/>
  <c r="L59" i="94"/>
  <c r="B59" i="94"/>
  <c r="Z58" i="94"/>
  <c r="X58" i="94"/>
  <c r="N58" i="94"/>
  <c r="L58" i="94"/>
  <c r="B58" i="94"/>
  <c r="T57" i="94"/>
  <c r="P57" i="94"/>
  <c r="L57" i="94"/>
  <c r="N57" i="94" s="1"/>
  <c r="H57" i="94"/>
  <c r="D57" i="94"/>
  <c r="B57" i="94"/>
  <c r="Z56" i="94"/>
  <c r="X56" i="94"/>
  <c r="N56" i="94"/>
  <c r="L56" i="94"/>
  <c r="B56" i="94"/>
  <c r="X55" i="94"/>
  <c r="Z55" i="94" s="1"/>
  <c r="L55" i="94"/>
  <c r="N55" i="94" s="1"/>
  <c r="B55" i="94"/>
  <c r="Z54" i="94"/>
  <c r="X54" i="94"/>
  <c r="T54" i="94"/>
  <c r="P54" i="94"/>
  <c r="H54" i="94"/>
  <c r="D54" i="94"/>
  <c r="B54" i="94"/>
  <c r="Z53" i="94"/>
  <c r="X53" i="94"/>
  <c r="N53" i="94"/>
  <c r="L53" i="94"/>
  <c r="B53" i="94"/>
  <c r="T52" i="94"/>
  <c r="Z52" i="94" s="1"/>
  <c r="P52" i="94"/>
  <c r="N52" i="94"/>
  <c r="H52" i="94"/>
  <c r="D52" i="94"/>
  <c r="L52" i="94" s="1"/>
  <c r="B52" i="94"/>
  <c r="X51" i="94"/>
  <c r="Z51" i="94" s="1"/>
  <c r="L51" i="94"/>
  <c r="N51" i="94" s="1"/>
  <c r="B51" i="94"/>
  <c r="T50" i="94"/>
  <c r="P50" i="94"/>
  <c r="X50" i="94" s="1"/>
  <c r="Z50" i="94" s="1"/>
  <c r="H50" i="94"/>
  <c r="D50" i="94"/>
  <c r="B50" i="94"/>
  <c r="Z49" i="94"/>
  <c r="X49" i="94"/>
  <c r="N49" i="94"/>
  <c r="L49" i="94"/>
  <c r="B49" i="94"/>
  <c r="T48" i="94"/>
  <c r="Z48" i="94" s="1"/>
  <c r="P48" i="94"/>
  <c r="X48" i="94" s="1"/>
  <c r="N48" i="94"/>
  <c r="L48" i="94"/>
  <c r="H48" i="94"/>
  <c r="D48" i="94"/>
  <c r="B48" i="94"/>
  <c r="X47" i="94"/>
  <c r="Z47" i="94" s="1"/>
  <c r="L47" i="94"/>
  <c r="N47" i="94" s="1"/>
  <c r="B47" i="94"/>
  <c r="Z46" i="94"/>
  <c r="X46" i="94"/>
  <c r="T46" i="94"/>
  <c r="P46" i="94"/>
  <c r="H46" i="94"/>
  <c r="D46" i="94"/>
  <c r="L46" i="94" s="1"/>
  <c r="B46" i="94"/>
  <c r="Z45" i="94"/>
  <c r="X45" i="94"/>
  <c r="N45" i="94"/>
  <c r="L45" i="94"/>
  <c r="B45" i="94"/>
  <c r="T44" i="94"/>
  <c r="Z44" i="94" s="1"/>
  <c r="P44" i="94"/>
  <c r="N44" i="94"/>
  <c r="H44" i="94"/>
  <c r="D44" i="94"/>
  <c r="L44" i="94" s="1"/>
  <c r="B44" i="94"/>
  <c r="X43" i="94"/>
  <c r="Z43" i="94" s="1"/>
  <c r="L43" i="94"/>
  <c r="N43" i="94" s="1"/>
  <c r="B43" i="94"/>
  <c r="T42" i="94"/>
  <c r="P42" i="94"/>
  <c r="X42" i="94" s="1"/>
  <c r="Z42" i="94" s="1"/>
  <c r="H42" i="94"/>
  <c r="D42" i="94"/>
  <c r="B42" i="94"/>
  <c r="Z41" i="94"/>
  <c r="X41" i="94"/>
  <c r="N41" i="94"/>
  <c r="L41" i="94"/>
  <c r="B41" i="94"/>
  <c r="T40" i="94"/>
  <c r="Z40" i="94" s="1"/>
  <c r="P40" i="94"/>
  <c r="X40" i="94" s="1"/>
  <c r="N40" i="94"/>
  <c r="L40" i="94"/>
  <c r="H40" i="94"/>
  <c r="D40" i="94"/>
  <c r="B40" i="94"/>
  <c r="Z39" i="94"/>
  <c r="X39" i="94"/>
  <c r="N39" i="94"/>
  <c r="L39" i="94"/>
  <c r="B39" i="94"/>
  <c r="Z38" i="94"/>
  <c r="X38" i="94"/>
  <c r="T38" i="94"/>
  <c r="P38" i="94"/>
  <c r="H38" i="94"/>
  <c r="N38" i="94" s="1"/>
  <c r="D38" i="94"/>
  <c r="B38" i="94"/>
  <c r="Z37" i="94"/>
  <c r="X37" i="94"/>
  <c r="N37" i="94"/>
  <c r="L37" i="94"/>
  <c r="B37" i="94"/>
  <c r="Z36" i="94"/>
  <c r="X36" i="94"/>
  <c r="N36" i="94"/>
  <c r="L36" i="94"/>
  <c r="B36" i="94"/>
  <c r="X35" i="94"/>
  <c r="Z35" i="94" s="1"/>
  <c r="L35" i="94"/>
  <c r="N35" i="94" s="1"/>
  <c r="B35" i="94"/>
  <c r="X34" i="94"/>
  <c r="Z34" i="94" s="1"/>
  <c r="N34" i="94"/>
  <c r="L34" i="94"/>
  <c r="B34" i="94"/>
  <c r="T33" i="94"/>
  <c r="P33" i="94"/>
  <c r="L33" i="94"/>
  <c r="N33" i="94" s="1"/>
  <c r="H33" i="94"/>
  <c r="D33" i="94"/>
  <c r="B33" i="94"/>
  <c r="X32" i="94"/>
  <c r="Z32" i="94" s="1"/>
  <c r="L32" i="94"/>
  <c r="N32" i="94" s="1"/>
  <c r="J32" i="94"/>
  <c r="B32" i="94"/>
  <c r="X31" i="94"/>
  <c r="Z31" i="94" s="1"/>
  <c r="L31" i="94"/>
  <c r="N31" i="94" s="1"/>
  <c r="B31" i="94"/>
  <c r="Z30" i="94"/>
  <c r="X30" i="94"/>
  <c r="N30" i="94"/>
  <c r="L30" i="94"/>
  <c r="B30" i="94"/>
  <c r="Z29" i="94"/>
  <c r="X29" i="94"/>
  <c r="N29" i="94"/>
  <c r="L29" i="94"/>
  <c r="B29" i="94"/>
  <c r="X28" i="94"/>
  <c r="Z28" i="94" s="1"/>
  <c r="L28" i="94"/>
  <c r="N28" i="94" s="1"/>
  <c r="B28" i="94"/>
  <c r="X27" i="94"/>
  <c r="Z27" i="94" s="1"/>
  <c r="L27" i="94"/>
  <c r="N27" i="94" s="1"/>
  <c r="B27" i="94"/>
  <c r="Z26" i="94"/>
  <c r="X26" i="94"/>
  <c r="N26" i="94"/>
  <c r="L26" i="94"/>
  <c r="B26" i="94"/>
  <c r="Z25" i="94"/>
  <c r="X25" i="94"/>
  <c r="N25" i="94"/>
  <c r="L25" i="94"/>
  <c r="B25" i="94"/>
  <c r="Z24" i="94"/>
  <c r="X24" i="94"/>
  <c r="L24" i="94"/>
  <c r="N24" i="94" s="1"/>
  <c r="B24" i="94"/>
  <c r="X23" i="94"/>
  <c r="Z23" i="94" s="1"/>
  <c r="T23" i="94"/>
  <c r="P23" i="94"/>
  <c r="H23" i="94"/>
  <c r="L23" i="94" s="1"/>
  <c r="D23" i="94"/>
  <c r="B23" i="94"/>
  <c r="T22" i="94"/>
  <c r="P22" i="94"/>
  <c r="X22" i="94" s="1"/>
  <c r="Z22" i="94" s="1"/>
  <c r="H22" i="94"/>
  <c r="D22" i="94"/>
  <c r="L22" i="94" s="1"/>
  <c r="Z18" i="94"/>
  <c r="X18" i="94"/>
  <c r="N18" i="94"/>
  <c r="L18" i="94"/>
  <c r="B18" i="94"/>
  <c r="Z17" i="94"/>
  <c r="X17" i="94"/>
  <c r="N17" i="94"/>
  <c r="L17" i="94"/>
  <c r="B17" i="94"/>
  <c r="Z16" i="94"/>
  <c r="X16" i="94"/>
  <c r="T16" i="94"/>
  <c r="P16" i="94"/>
  <c r="H16" i="94"/>
  <c r="D16" i="94"/>
  <c r="X14" i="94"/>
  <c r="T14" i="94"/>
  <c r="Z14" i="94" s="1"/>
  <c r="P14" i="94"/>
  <c r="L14" i="94"/>
  <c r="H14" i="94"/>
  <c r="H12" i="94" s="1"/>
  <c r="D14" i="94"/>
  <c r="B14" i="94"/>
  <c r="Z13" i="94"/>
  <c r="X13" i="94"/>
  <c r="T13" i="94"/>
  <c r="T12" i="94" s="1"/>
  <c r="V63" i="94" s="1"/>
  <c r="P13" i="94"/>
  <c r="N13" i="94"/>
  <c r="L13" i="94"/>
  <c r="H13" i="94"/>
  <c r="D13" i="94"/>
  <c r="B13" i="94"/>
  <c r="P12" i="94"/>
  <c r="D12" i="94"/>
  <c r="D6" i="94"/>
  <c r="D4" i="94"/>
  <c r="X79" i="93"/>
  <c r="Z79" i="93" s="1"/>
  <c r="L79" i="93"/>
  <c r="N79" i="93" s="1"/>
  <c r="T75" i="93"/>
  <c r="Z75" i="93" s="1"/>
  <c r="P75" i="93"/>
  <c r="X75" i="93" s="1"/>
  <c r="H75" i="93"/>
  <c r="N75" i="93" s="1"/>
  <c r="D75" i="93"/>
  <c r="L75" i="93" s="1"/>
  <c r="X73" i="93"/>
  <c r="Z73" i="93" s="1"/>
  <c r="L73" i="93"/>
  <c r="N73" i="93" s="1"/>
  <c r="B73" i="93"/>
  <c r="Z72" i="93"/>
  <c r="T72" i="93"/>
  <c r="P72" i="93"/>
  <c r="X72" i="93" s="1"/>
  <c r="H72" i="93"/>
  <c r="D72" i="93"/>
  <c r="L72" i="93" s="1"/>
  <c r="N72" i="93" s="1"/>
  <c r="B72" i="93"/>
  <c r="Z71" i="93"/>
  <c r="X71" i="93"/>
  <c r="N71" i="93"/>
  <c r="L71" i="93"/>
  <c r="B71" i="93"/>
  <c r="T70" i="93"/>
  <c r="P70" i="93"/>
  <c r="X70" i="93" s="1"/>
  <c r="Z70" i="93" s="1"/>
  <c r="N70" i="93"/>
  <c r="L70" i="93"/>
  <c r="H70" i="93"/>
  <c r="D70" i="93"/>
  <c r="B70" i="93"/>
  <c r="X69" i="93"/>
  <c r="Z69" i="93" s="1"/>
  <c r="L69" i="93"/>
  <c r="N69" i="93" s="1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L66" i="93"/>
  <c r="N66" i="93" s="1"/>
  <c r="B66" i="93"/>
  <c r="X65" i="93"/>
  <c r="Z65" i="93" s="1"/>
  <c r="L65" i="93"/>
  <c r="N65" i="93" s="1"/>
  <c r="J65" i="93"/>
  <c r="B65" i="93"/>
  <c r="Z64" i="93"/>
  <c r="X64" i="93"/>
  <c r="L64" i="93"/>
  <c r="N64" i="93" s="1"/>
  <c r="B64" i="93"/>
  <c r="T63" i="93"/>
  <c r="P63" i="93"/>
  <c r="X63" i="93" s="1"/>
  <c r="H63" i="93"/>
  <c r="D63" i="93"/>
  <c r="L63" i="93" s="1"/>
  <c r="N63" i="93" s="1"/>
  <c r="B63" i="93"/>
  <c r="Z62" i="93"/>
  <c r="X62" i="93"/>
  <c r="L62" i="93"/>
  <c r="N62" i="93" s="1"/>
  <c r="B62" i="93"/>
  <c r="Z61" i="93"/>
  <c r="X61" i="93"/>
  <c r="N61" i="93"/>
  <c r="L61" i="93"/>
  <c r="J61" i="93"/>
  <c r="B61" i="93"/>
  <c r="Z60" i="93"/>
  <c r="X60" i="93"/>
  <c r="N60" i="93"/>
  <c r="L60" i="93"/>
  <c r="B60" i="93"/>
  <c r="T59" i="93"/>
  <c r="P59" i="93"/>
  <c r="H59" i="93"/>
  <c r="D59" i="93"/>
  <c r="L59" i="93" s="1"/>
  <c r="N59" i="93" s="1"/>
  <c r="B59" i="93"/>
  <c r="Z58" i="93"/>
  <c r="X58" i="93"/>
  <c r="N58" i="93"/>
  <c r="L58" i="93"/>
  <c r="B58" i="93"/>
  <c r="X57" i="93"/>
  <c r="Z57" i="93" s="1"/>
  <c r="L57" i="93"/>
  <c r="N57" i="93" s="1"/>
  <c r="J57" i="93"/>
  <c r="B57" i="93"/>
  <c r="T56" i="93"/>
  <c r="P56" i="93"/>
  <c r="X56" i="93" s="1"/>
  <c r="Z56" i="93" s="1"/>
  <c r="H56" i="93"/>
  <c r="D56" i="93"/>
  <c r="L56" i="93" s="1"/>
  <c r="N56" i="93" s="1"/>
  <c r="B56" i="93"/>
  <c r="Z55" i="93"/>
  <c r="X55" i="93"/>
  <c r="N55" i="93"/>
  <c r="L55" i="93"/>
  <c r="B55" i="93"/>
  <c r="T54" i="93"/>
  <c r="P54" i="93"/>
  <c r="X54" i="93" s="1"/>
  <c r="Z54" i="93" s="1"/>
  <c r="N54" i="93"/>
  <c r="L54" i="93"/>
  <c r="H54" i="93"/>
  <c r="D54" i="93"/>
  <c r="B54" i="93"/>
  <c r="X53" i="93"/>
  <c r="Z53" i="93" s="1"/>
  <c r="N53" i="93"/>
  <c r="L53" i="93"/>
  <c r="B53" i="93"/>
  <c r="Z52" i="93"/>
  <c r="X52" i="93"/>
  <c r="T52" i="93"/>
  <c r="P52" i="93"/>
  <c r="J52" i="93"/>
  <c r="H52" i="93"/>
  <c r="D52" i="93"/>
  <c r="B52" i="93"/>
  <c r="Z51" i="93"/>
  <c r="X51" i="93"/>
  <c r="N51" i="93"/>
  <c r="L51" i="93"/>
  <c r="B51" i="93"/>
  <c r="T50" i="93"/>
  <c r="P50" i="93"/>
  <c r="H50" i="93"/>
  <c r="D50" i="93"/>
  <c r="L50" i="93" s="1"/>
  <c r="N50" i="93" s="1"/>
  <c r="B50" i="93"/>
  <c r="X49" i="93"/>
  <c r="Z49" i="93" s="1"/>
  <c r="L49" i="93"/>
  <c r="N49" i="93" s="1"/>
  <c r="B49" i="93"/>
  <c r="T48" i="93"/>
  <c r="P48" i="93"/>
  <c r="J48" i="93"/>
  <c r="H48" i="93"/>
  <c r="D48" i="93"/>
  <c r="L48" i="93" s="1"/>
  <c r="N48" i="93" s="1"/>
  <c r="B48" i="93"/>
  <c r="Z47" i="93"/>
  <c r="X47" i="93"/>
  <c r="N47" i="93"/>
  <c r="L47" i="93"/>
  <c r="J47" i="93"/>
  <c r="B47" i="93"/>
  <c r="T46" i="93"/>
  <c r="P46" i="93"/>
  <c r="X46" i="93" s="1"/>
  <c r="Z46" i="93" s="1"/>
  <c r="L46" i="93"/>
  <c r="N46" i="93" s="1"/>
  <c r="H46" i="93"/>
  <c r="D46" i="93"/>
  <c r="B46" i="93"/>
  <c r="Z45" i="93"/>
  <c r="X45" i="93"/>
  <c r="N45" i="93"/>
  <c r="L45" i="93"/>
  <c r="B45" i="93"/>
  <c r="Z44" i="93"/>
  <c r="X44" i="93"/>
  <c r="T44" i="93"/>
  <c r="P44" i="93"/>
  <c r="L44" i="93"/>
  <c r="J44" i="93"/>
  <c r="H44" i="93"/>
  <c r="N44" i="93" s="1"/>
  <c r="D44" i="93"/>
  <c r="B44" i="93"/>
  <c r="Z43" i="93"/>
  <c r="X43" i="93"/>
  <c r="N43" i="93"/>
  <c r="L43" i="93"/>
  <c r="B43" i="93"/>
  <c r="X42" i="93"/>
  <c r="T42" i="93"/>
  <c r="P42" i="93"/>
  <c r="N42" i="93"/>
  <c r="H42" i="93"/>
  <c r="D42" i="93"/>
  <c r="L42" i="93" s="1"/>
  <c r="B42" i="93"/>
  <c r="X41" i="93"/>
  <c r="Z41" i="93" s="1"/>
  <c r="L41" i="93"/>
  <c r="N41" i="93" s="1"/>
  <c r="J41" i="93"/>
  <c r="B41" i="93"/>
  <c r="T40" i="93"/>
  <c r="Z40" i="93" s="1"/>
  <c r="P40" i="93"/>
  <c r="X40" i="93" s="1"/>
  <c r="H40" i="93"/>
  <c r="D40" i="93"/>
  <c r="L40" i="93" s="1"/>
  <c r="N40" i="93" s="1"/>
  <c r="B40" i="93"/>
  <c r="Z39" i="93"/>
  <c r="X39" i="93"/>
  <c r="N39" i="93"/>
  <c r="L39" i="93"/>
  <c r="J39" i="93"/>
  <c r="B39" i="93"/>
  <c r="X38" i="93"/>
  <c r="Z38" i="93" s="1"/>
  <c r="L38" i="93"/>
  <c r="N38" i="93" s="1"/>
  <c r="B38" i="93"/>
  <c r="X37" i="93"/>
  <c r="Z37" i="93" s="1"/>
  <c r="L37" i="93"/>
  <c r="N37" i="93" s="1"/>
  <c r="B37" i="93"/>
  <c r="Z36" i="93"/>
  <c r="X36" i="93"/>
  <c r="N36" i="93"/>
  <c r="L36" i="93"/>
  <c r="B36" i="93"/>
  <c r="Z35" i="93"/>
  <c r="X35" i="93"/>
  <c r="N35" i="93"/>
  <c r="L35" i="93"/>
  <c r="B35" i="93"/>
  <c r="T34" i="93"/>
  <c r="P34" i="93"/>
  <c r="H34" i="93"/>
  <c r="D34" i="93"/>
  <c r="B34" i="93"/>
  <c r="X33" i="93"/>
  <c r="Z33" i="93" s="1"/>
  <c r="N33" i="93"/>
  <c r="L33" i="93"/>
  <c r="J33" i="93"/>
  <c r="B33" i="93"/>
  <c r="Z32" i="93"/>
  <c r="X32" i="93"/>
  <c r="N32" i="93"/>
  <c r="L32" i="93"/>
  <c r="B32" i="93"/>
  <c r="Z31" i="93"/>
  <c r="X31" i="93"/>
  <c r="N31" i="93"/>
  <c r="L31" i="93"/>
  <c r="B31" i="93"/>
  <c r="X30" i="93"/>
  <c r="Z30" i="93" s="1"/>
  <c r="L30" i="93"/>
  <c r="N30" i="93" s="1"/>
  <c r="B30" i="93"/>
  <c r="Z29" i="93"/>
  <c r="X29" i="93"/>
  <c r="L29" i="93"/>
  <c r="N29" i="93" s="1"/>
  <c r="B29" i="93"/>
  <c r="Z28" i="93"/>
  <c r="X28" i="93"/>
  <c r="N28" i="93"/>
  <c r="L28" i="93"/>
  <c r="B28" i="93"/>
  <c r="Z27" i="93"/>
  <c r="X27" i="93"/>
  <c r="N27" i="93"/>
  <c r="L27" i="93"/>
  <c r="B27" i="93"/>
  <c r="X26" i="93"/>
  <c r="Z26" i="93" s="1"/>
  <c r="L26" i="93"/>
  <c r="N26" i="93" s="1"/>
  <c r="B26" i="93"/>
  <c r="X25" i="93"/>
  <c r="Z25" i="93" s="1"/>
  <c r="L25" i="93"/>
  <c r="N25" i="93" s="1"/>
  <c r="B25" i="93"/>
  <c r="T24" i="93"/>
  <c r="P24" i="93"/>
  <c r="J24" i="93"/>
  <c r="H24" i="93"/>
  <c r="D24" i="93"/>
  <c r="L24" i="93" s="1"/>
  <c r="N24" i="93" s="1"/>
  <c r="B24" i="93"/>
  <c r="T23" i="93"/>
  <c r="P23" i="93"/>
  <c r="L23" i="93"/>
  <c r="N23" i="93" s="1"/>
  <c r="J23" i="93"/>
  <c r="H23" i="93"/>
  <c r="D23" i="93"/>
  <c r="Z19" i="93"/>
  <c r="X19" i="93"/>
  <c r="N19" i="93"/>
  <c r="L19" i="93"/>
  <c r="J19" i="93"/>
  <c r="B19" i="93"/>
  <c r="Z18" i="93"/>
  <c r="X18" i="93"/>
  <c r="L18" i="93"/>
  <c r="N18" i="93" s="1"/>
  <c r="B18" i="93"/>
  <c r="T17" i="93"/>
  <c r="P17" i="93"/>
  <c r="X17" i="93" s="1"/>
  <c r="Z17" i="93" s="1"/>
  <c r="H17" i="93"/>
  <c r="D17" i="93"/>
  <c r="T15" i="93"/>
  <c r="P15" i="93"/>
  <c r="X15" i="93" s="1"/>
  <c r="N15" i="93"/>
  <c r="L15" i="93"/>
  <c r="H15" i="93"/>
  <c r="D15" i="93"/>
  <c r="B15" i="93"/>
  <c r="T14" i="93"/>
  <c r="P14" i="93"/>
  <c r="H14" i="93"/>
  <c r="D14" i="93"/>
  <c r="L14" i="93" s="1"/>
  <c r="N14" i="93" s="1"/>
  <c r="B14" i="93"/>
  <c r="T13" i="93"/>
  <c r="P13" i="93"/>
  <c r="H13" i="93"/>
  <c r="D13" i="93"/>
  <c r="B13" i="93"/>
  <c r="H12" i="93"/>
  <c r="J56" i="93" s="1"/>
  <c r="D6" i="93"/>
  <c r="D4" i="93"/>
  <c r="J31" i="92"/>
  <c r="J28" i="92"/>
  <c r="Z26" i="92"/>
  <c r="X26" i="92"/>
  <c r="N26" i="92"/>
  <c r="L26" i="92"/>
  <c r="Z22" i="92"/>
  <c r="T22" i="92"/>
  <c r="P22" i="92"/>
  <c r="X22" i="92" s="1"/>
  <c r="J22" i="92"/>
  <c r="H22" i="92"/>
  <c r="N22" i="92" s="1"/>
  <c r="D22" i="92"/>
  <c r="L22" i="92" s="1"/>
  <c r="X20" i="92"/>
  <c r="Z20" i="92" s="1"/>
  <c r="N20" i="92"/>
  <c r="L20" i="92"/>
  <c r="B20" i="92"/>
  <c r="Z19" i="92"/>
  <c r="T19" i="92"/>
  <c r="X19" i="92" s="1"/>
  <c r="P19" i="92"/>
  <c r="J19" i="92"/>
  <c r="H19" i="92"/>
  <c r="N19" i="92" s="1"/>
  <c r="D19" i="92"/>
  <c r="L19" i="92" s="1"/>
  <c r="B19" i="92"/>
  <c r="T18" i="92"/>
  <c r="P18" i="92"/>
  <c r="L18" i="92"/>
  <c r="N18" i="92" s="1"/>
  <c r="H18" i="92"/>
  <c r="D18" i="92"/>
  <c r="T16" i="92"/>
  <c r="J16" i="92"/>
  <c r="D16" i="92"/>
  <c r="D24" i="92" s="1"/>
  <c r="T14" i="92"/>
  <c r="P14" i="92"/>
  <c r="N14" i="92"/>
  <c r="L14" i="92"/>
  <c r="H14" i="92"/>
  <c r="H16" i="92" s="1"/>
  <c r="D14" i="92"/>
  <c r="T12" i="92"/>
  <c r="P12" i="92"/>
  <c r="H12" i="92"/>
  <c r="J26" i="92" s="1"/>
  <c r="D12" i="92"/>
  <c r="F16" i="92" s="1"/>
  <c r="D6" i="92"/>
  <c r="D4" i="92"/>
  <c r="Z74" i="91"/>
  <c r="X74" i="91"/>
  <c r="L74" i="91"/>
  <c r="N74" i="91" s="1"/>
  <c r="X70" i="91"/>
  <c r="T70" i="91"/>
  <c r="Z70" i="91" s="1"/>
  <c r="P70" i="91"/>
  <c r="H70" i="91"/>
  <c r="N70" i="91" s="1"/>
  <c r="D70" i="91"/>
  <c r="X68" i="91"/>
  <c r="Z68" i="91" s="1"/>
  <c r="L68" i="91"/>
  <c r="N68" i="91" s="1"/>
  <c r="B68" i="91"/>
  <c r="Z67" i="91"/>
  <c r="T67" i="91"/>
  <c r="P67" i="91"/>
  <c r="X67" i="91" s="1"/>
  <c r="L67" i="91"/>
  <c r="N67" i="91" s="1"/>
  <c r="H67" i="91"/>
  <c r="D67" i="91"/>
  <c r="B67" i="91"/>
  <c r="Z66" i="91"/>
  <c r="X66" i="91"/>
  <c r="L66" i="91"/>
  <c r="N66" i="91" s="1"/>
  <c r="B66" i="91"/>
  <c r="X65" i="91"/>
  <c r="Z65" i="91" s="1"/>
  <c r="N65" i="91"/>
  <c r="L65" i="91"/>
  <c r="B65" i="91"/>
  <c r="Z64" i="91"/>
  <c r="X64" i="91"/>
  <c r="L64" i="91"/>
  <c r="N64" i="91" s="1"/>
  <c r="B64" i="91"/>
  <c r="Z63" i="91"/>
  <c r="X63" i="91"/>
  <c r="N63" i="91"/>
  <c r="L63" i="91"/>
  <c r="B63" i="91"/>
  <c r="X62" i="91"/>
  <c r="Z62" i="91" s="1"/>
  <c r="N62" i="91"/>
  <c r="L62" i="91"/>
  <c r="B62" i="91"/>
  <c r="T61" i="91"/>
  <c r="Z61" i="91" s="1"/>
  <c r="P61" i="91"/>
  <c r="X61" i="91" s="1"/>
  <c r="H61" i="91"/>
  <c r="D61" i="91"/>
  <c r="L61" i="91" s="1"/>
  <c r="N61" i="91" s="1"/>
  <c r="B61" i="91"/>
  <c r="X60" i="91"/>
  <c r="Z60" i="91" s="1"/>
  <c r="L60" i="91"/>
  <c r="N60" i="91" s="1"/>
  <c r="B60" i="91"/>
  <c r="Z59" i="91"/>
  <c r="X59" i="91"/>
  <c r="N59" i="91"/>
  <c r="L59" i="91"/>
  <c r="B59" i="91"/>
  <c r="X58" i="91"/>
  <c r="Z58" i="91" s="1"/>
  <c r="N58" i="91"/>
  <c r="L58" i="91"/>
  <c r="B58" i="91"/>
  <c r="T57" i="91"/>
  <c r="P57" i="91"/>
  <c r="X57" i="91" s="1"/>
  <c r="H57" i="91"/>
  <c r="D57" i="91"/>
  <c r="L57" i="91" s="1"/>
  <c r="N57" i="91" s="1"/>
  <c r="B57" i="91"/>
  <c r="Z56" i="91"/>
  <c r="X56" i="91"/>
  <c r="L56" i="91"/>
  <c r="N56" i="91" s="1"/>
  <c r="B56" i="91"/>
  <c r="Z55" i="91"/>
  <c r="T55" i="91"/>
  <c r="P55" i="91"/>
  <c r="X55" i="91" s="1"/>
  <c r="L55" i="91"/>
  <c r="N55" i="91" s="1"/>
  <c r="H55" i="91"/>
  <c r="D55" i="91"/>
  <c r="B55" i="91"/>
  <c r="Z54" i="91"/>
  <c r="X54" i="91"/>
  <c r="L54" i="91"/>
  <c r="N54" i="91" s="1"/>
  <c r="B54" i="91"/>
  <c r="X53" i="91"/>
  <c r="Z53" i="91" s="1"/>
  <c r="T53" i="91"/>
  <c r="P53" i="91"/>
  <c r="N53" i="91"/>
  <c r="H53" i="91"/>
  <c r="L53" i="91" s="1"/>
  <c r="D53" i="91"/>
  <c r="B53" i="91"/>
  <c r="X52" i="91"/>
  <c r="Z52" i="91" s="1"/>
  <c r="N52" i="91"/>
  <c r="L52" i="91"/>
  <c r="B52" i="91"/>
  <c r="T51" i="91"/>
  <c r="X51" i="91" s="1"/>
  <c r="P51" i="91"/>
  <c r="J51" i="91"/>
  <c r="H51" i="91"/>
  <c r="N51" i="91" s="1"/>
  <c r="D51" i="91"/>
  <c r="L51" i="91" s="1"/>
  <c r="B51" i="91"/>
  <c r="X50" i="91"/>
  <c r="Z50" i="91" s="1"/>
  <c r="N50" i="91"/>
  <c r="L50" i="91"/>
  <c r="B50" i="91"/>
  <c r="T49" i="91"/>
  <c r="P49" i="91"/>
  <c r="X49" i="91" s="1"/>
  <c r="H49" i="91"/>
  <c r="D49" i="91"/>
  <c r="L49" i="91" s="1"/>
  <c r="N49" i="91" s="1"/>
  <c r="B49" i="91"/>
  <c r="Z48" i="91"/>
  <c r="X48" i="91"/>
  <c r="N48" i="91"/>
  <c r="L48" i="91"/>
  <c r="B48" i="91"/>
  <c r="Z47" i="91"/>
  <c r="T47" i="91"/>
  <c r="P47" i="91"/>
  <c r="X47" i="91" s="1"/>
  <c r="N47" i="91"/>
  <c r="L47" i="91"/>
  <c r="H47" i="91"/>
  <c r="D47" i="91"/>
  <c r="B47" i="91"/>
  <c r="Z46" i="91"/>
  <c r="X46" i="91"/>
  <c r="L46" i="91"/>
  <c r="N46" i="91" s="1"/>
  <c r="F46" i="91"/>
  <c r="B46" i="91"/>
  <c r="X45" i="91"/>
  <c r="Z45" i="91" s="1"/>
  <c r="T45" i="91"/>
  <c r="P45" i="91"/>
  <c r="N45" i="91"/>
  <c r="H45" i="91"/>
  <c r="L45" i="91" s="1"/>
  <c r="D45" i="91"/>
  <c r="B45" i="91"/>
  <c r="Z44" i="91"/>
  <c r="X44" i="91"/>
  <c r="N44" i="91"/>
  <c r="L44" i="91"/>
  <c r="B44" i="91"/>
  <c r="T43" i="91"/>
  <c r="P43" i="91"/>
  <c r="H43" i="91"/>
  <c r="N43" i="91" s="1"/>
  <c r="D43" i="91"/>
  <c r="L43" i="91" s="1"/>
  <c r="B43" i="91"/>
  <c r="Z42" i="91"/>
  <c r="X42" i="91"/>
  <c r="N42" i="91"/>
  <c r="L42" i="91"/>
  <c r="B42" i="91"/>
  <c r="T41" i="91"/>
  <c r="Z41" i="91" s="1"/>
  <c r="P41" i="91"/>
  <c r="X41" i="91" s="1"/>
  <c r="N41" i="91"/>
  <c r="H41" i="91"/>
  <c r="D41" i="91"/>
  <c r="L41" i="91" s="1"/>
  <c r="B41" i="91"/>
  <c r="X40" i="91"/>
  <c r="Z40" i="91" s="1"/>
  <c r="N40" i="91"/>
  <c r="L40" i="91"/>
  <c r="B40" i="91"/>
  <c r="T39" i="91"/>
  <c r="P39" i="91"/>
  <c r="X39" i="91" s="1"/>
  <c r="Z39" i="91" s="1"/>
  <c r="N39" i="91"/>
  <c r="L39" i="91"/>
  <c r="H39" i="91"/>
  <c r="D39" i="91"/>
  <c r="B39" i="91"/>
  <c r="Z38" i="91"/>
  <c r="X38" i="91"/>
  <c r="N38" i="91"/>
  <c r="L38" i="91"/>
  <c r="B38" i="91"/>
  <c r="Z37" i="91"/>
  <c r="X37" i="91"/>
  <c r="N37" i="91"/>
  <c r="L37" i="91"/>
  <c r="B37" i="91"/>
  <c r="Z36" i="91"/>
  <c r="X36" i="91"/>
  <c r="L36" i="91"/>
  <c r="N36" i="91" s="1"/>
  <c r="B36" i="91"/>
  <c r="Z35" i="91"/>
  <c r="X35" i="91"/>
  <c r="N35" i="91"/>
  <c r="L35" i="91"/>
  <c r="B35" i="91"/>
  <c r="T34" i="91"/>
  <c r="P34" i="91"/>
  <c r="H34" i="91"/>
  <c r="D34" i="91"/>
  <c r="L34" i="91" s="1"/>
  <c r="N34" i="91" s="1"/>
  <c r="B34" i="91"/>
  <c r="X33" i="91"/>
  <c r="Z33" i="91" s="1"/>
  <c r="L33" i="91"/>
  <c r="N33" i="91" s="1"/>
  <c r="B33" i="91"/>
  <c r="Z32" i="91"/>
  <c r="X32" i="91"/>
  <c r="L32" i="91"/>
  <c r="N32" i="91" s="1"/>
  <c r="B32" i="91"/>
  <c r="Z31" i="91"/>
  <c r="X31" i="91"/>
  <c r="N31" i="91"/>
  <c r="L31" i="91"/>
  <c r="B31" i="91"/>
  <c r="Z30" i="91"/>
  <c r="X30" i="91"/>
  <c r="R30" i="91"/>
  <c r="N30" i="91"/>
  <c r="L30" i="91"/>
  <c r="B30" i="91"/>
  <c r="X29" i="91"/>
  <c r="Z29" i="91" s="1"/>
  <c r="L29" i="91"/>
  <c r="N29" i="91" s="1"/>
  <c r="J29" i="91"/>
  <c r="B29" i="91"/>
  <c r="X28" i="91"/>
  <c r="Z28" i="91" s="1"/>
  <c r="L28" i="91"/>
  <c r="N28" i="91" s="1"/>
  <c r="B28" i="91"/>
  <c r="Z27" i="91"/>
  <c r="X27" i="91"/>
  <c r="N27" i="91"/>
  <c r="L27" i="91"/>
  <c r="B27" i="91"/>
  <c r="Z26" i="91"/>
  <c r="X26" i="91"/>
  <c r="N26" i="91"/>
  <c r="L26" i="91"/>
  <c r="F26" i="91"/>
  <c r="B26" i="91"/>
  <c r="X25" i="91"/>
  <c r="Z25" i="91" s="1"/>
  <c r="L25" i="91"/>
  <c r="N25" i="91" s="1"/>
  <c r="B25" i="91"/>
  <c r="Z24" i="91"/>
  <c r="X24" i="91"/>
  <c r="T24" i="91"/>
  <c r="P24" i="91"/>
  <c r="N24" i="91"/>
  <c r="H24" i="91"/>
  <c r="L24" i="91" s="1"/>
  <c r="D24" i="91"/>
  <c r="B24" i="91"/>
  <c r="X23" i="91"/>
  <c r="Z23" i="91" s="1"/>
  <c r="T23" i="91"/>
  <c r="P23" i="91"/>
  <c r="H23" i="91"/>
  <c r="D23" i="91"/>
  <c r="L23" i="91" s="1"/>
  <c r="Z19" i="91"/>
  <c r="X19" i="91"/>
  <c r="L19" i="91"/>
  <c r="N19" i="91" s="1"/>
  <c r="B19" i="91"/>
  <c r="Z18" i="91"/>
  <c r="X18" i="91"/>
  <c r="N18" i="91"/>
  <c r="L18" i="91"/>
  <c r="F18" i="91"/>
  <c r="B18" i="91"/>
  <c r="T17" i="91"/>
  <c r="P17" i="91"/>
  <c r="J17" i="91"/>
  <c r="H17" i="91"/>
  <c r="D17" i="91"/>
  <c r="T15" i="91"/>
  <c r="P15" i="91"/>
  <c r="H15" i="91"/>
  <c r="D15" i="91"/>
  <c r="L15" i="91" s="1"/>
  <c r="B15" i="91"/>
  <c r="X14" i="91"/>
  <c r="T14" i="91"/>
  <c r="P14" i="91"/>
  <c r="L14" i="91"/>
  <c r="H14" i="91"/>
  <c r="D14" i="91"/>
  <c r="B14" i="91"/>
  <c r="T13" i="91"/>
  <c r="X13" i="91" s="1"/>
  <c r="Z13" i="91" s="1"/>
  <c r="P13" i="91"/>
  <c r="L13" i="91"/>
  <c r="N13" i="91" s="1"/>
  <c r="H13" i="91"/>
  <c r="H12" i="91" s="1"/>
  <c r="D13" i="91"/>
  <c r="B13" i="91"/>
  <c r="P12" i="91"/>
  <c r="R26" i="91" s="1"/>
  <c r="D12" i="91"/>
  <c r="F57" i="91" s="1"/>
  <c r="D6" i="91"/>
  <c r="D4" i="91"/>
  <c r="V51" i="90"/>
  <c r="Z46" i="90"/>
  <c r="X46" i="90"/>
  <c r="V46" i="90"/>
  <c r="N46" i="90"/>
  <c r="L46" i="90"/>
  <c r="V44" i="90"/>
  <c r="X42" i="90"/>
  <c r="T42" i="90"/>
  <c r="Z42" i="90" s="1"/>
  <c r="P42" i="90"/>
  <c r="H42" i="90"/>
  <c r="N42" i="90" s="1"/>
  <c r="D42" i="90"/>
  <c r="Z40" i="90"/>
  <c r="X40" i="90"/>
  <c r="V40" i="90"/>
  <c r="N40" i="90"/>
  <c r="L40" i="90"/>
  <c r="B40" i="90"/>
  <c r="Z39" i="90"/>
  <c r="X39" i="90"/>
  <c r="T39" i="90"/>
  <c r="P39" i="90"/>
  <c r="J39" i="90"/>
  <c r="H39" i="90"/>
  <c r="D39" i="90"/>
  <c r="B39" i="90"/>
  <c r="X38" i="90"/>
  <c r="Z38" i="90" s="1"/>
  <c r="N38" i="90"/>
  <c r="L38" i="90"/>
  <c r="F38" i="90"/>
  <c r="B38" i="90"/>
  <c r="V37" i="90"/>
  <c r="T37" i="90"/>
  <c r="P37" i="90"/>
  <c r="J37" i="90"/>
  <c r="H37" i="90"/>
  <c r="F37" i="90"/>
  <c r="D37" i="90"/>
  <c r="L37" i="90" s="1"/>
  <c r="N37" i="90" s="1"/>
  <c r="B37" i="90"/>
  <c r="Z36" i="90"/>
  <c r="X36" i="90"/>
  <c r="N36" i="90"/>
  <c r="L36" i="90"/>
  <c r="J36" i="90"/>
  <c r="B36" i="90"/>
  <c r="Z35" i="90"/>
  <c r="X35" i="90"/>
  <c r="V35" i="90"/>
  <c r="N35" i="90"/>
  <c r="L35" i="90"/>
  <c r="B35" i="90"/>
  <c r="T34" i="90"/>
  <c r="R34" i="90"/>
  <c r="P34" i="90"/>
  <c r="H34" i="90"/>
  <c r="N34" i="90" s="1"/>
  <c r="D34" i="90"/>
  <c r="L34" i="90" s="1"/>
  <c r="B34" i="90"/>
  <c r="Z33" i="90"/>
  <c r="X33" i="90"/>
  <c r="V33" i="90"/>
  <c r="N33" i="90"/>
  <c r="L33" i="90"/>
  <c r="J33" i="90"/>
  <c r="F33" i="90"/>
  <c r="B33" i="90"/>
  <c r="T32" i="90"/>
  <c r="Z32" i="90" s="1"/>
  <c r="P32" i="90"/>
  <c r="X32" i="90" s="1"/>
  <c r="N32" i="90"/>
  <c r="H32" i="90"/>
  <c r="D32" i="90"/>
  <c r="L32" i="90" s="1"/>
  <c r="B32" i="90"/>
  <c r="Z31" i="90"/>
  <c r="X31" i="90"/>
  <c r="N31" i="90"/>
  <c r="L31" i="90"/>
  <c r="J31" i="90"/>
  <c r="B31" i="90"/>
  <c r="Z30" i="90"/>
  <c r="T30" i="90"/>
  <c r="P30" i="90"/>
  <c r="N30" i="90"/>
  <c r="L30" i="90"/>
  <c r="J30" i="90"/>
  <c r="H30" i="90"/>
  <c r="D30" i="90"/>
  <c r="B30" i="90"/>
  <c r="Z29" i="90"/>
  <c r="X29" i="90"/>
  <c r="V29" i="90"/>
  <c r="N29" i="90"/>
  <c r="L29" i="90"/>
  <c r="J29" i="90"/>
  <c r="B29" i="90"/>
  <c r="X28" i="90"/>
  <c r="V28" i="90"/>
  <c r="T28" i="90"/>
  <c r="P28" i="90"/>
  <c r="H28" i="90"/>
  <c r="D28" i="90"/>
  <c r="B28" i="90"/>
  <c r="Z27" i="90"/>
  <c r="X27" i="90"/>
  <c r="V27" i="90"/>
  <c r="L27" i="90"/>
  <c r="N27" i="90" s="1"/>
  <c r="B27" i="90"/>
  <c r="X26" i="90"/>
  <c r="Z26" i="90" s="1"/>
  <c r="R26" i="90"/>
  <c r="N26" i="90"/>
  <c r="L26" i="90"/>
  <c r="B26" i="90"/>
  <c r="Z25" i="90"/>
  <c r="X25" i="90"/>
  <c r="V25" i="90"/>
  <c r="R25" i="90"/>
  <c r="N25" i="90"/>
  <c r="L25" i="90"/>
  <c r="J25" i="90"/>
  <c r="B25" i="90"/>
  <c r="X24" i="90"/>
  <c r="Z24" i="90" s="1"/>
  <c r="V24" i="90"/>
  <c r="L24" i="90"/>
  <c r="N24" i="90" s="1"/>
  <c r="J24" i="90"/>
  <c r="B24" i="90"/>
  <c r="X23" i="90"/>
  <c r="Z23" i="90" s="1"/>
  <c r="N23" i="90"/>
  <c r="L23" i="90"/>
  <c r="J23" i="90"/>
  <c r="B23" i="90"/>
  <c r="Z22" i="90"/>
  <c r="X22" i="90"/>
  <c r="L22" i="90"/>
  <c r="N22" i="90" s="1"/>
  <c r="B22" i="90"/>
  <c r="Z21" i="90"/>
  <c r="X21" i="90"/>
  <c r="V21" i="90"/>
  <c r="N21" i="90"/>
  <c r="L21" i="90"/>
  <c r="J21" i="90"/>
  <c r="B21" i="90"/>
  <c r="X20" i="90"/>
  <c r="Z20" i="90" s="1"/>
  <c r="V20" i="90"/>
  <c r="L20" i="90"/>
  <c r="N20" i="90" s="1"/>
  <c r="J20" i="90"/>
  <c r="B20" i="90"/>
  <c r="Z19" i="90"/>
  <c r="V19" i="90"/>
  <c r="T19" i="90"/>
  <c r="P19" i="90"/>
  <c r="X19" i="90" s="1"/>
  <c r="J19" i="90"/>
  <c r="H19" i="90"/>
  <c r="N19" i="90" s="1"/>
  <c r="D19" i="90"/>
  <c r="L19" i="90" s="1"/>
  <c r="B19" i="90"/>
  <c r="T18" i="90"/>
  <c r="P18" i="90"/>
  <c r="J18" i="90"/>
  <c r="H18" i="90"/>
  <c r="D18" i="90"/>
  <c r="L18" i="90" s="1"/>
  <c r="R16" i="90"/>
  <c r="J16" i="90"/>
  <c r="H16" i="90"/>
  <c r="T14" i="90"/>
  <c r="Z14" i="90" s="1"/>
  <c r="P14" i="90"/>
  <c r="J14" i="90"/>
  <c r="H14" i="90"/>
  <c r="N14" i="90" s="1"/>
  <c r="D14" i="90"/>
  <c r="Z12" i="90"/>
  <c r="T12" i="90"/>
  <c r="V48" i="90" s="1"/>
  <c r="P12" i="90"/>
  <c r="R19" i="90" s="1"/>
  <c r="N12" i="90"/>
  <c r="H12" i="90"/>
  <c r="J46" i="90" s="1"/>
  <c r="D12" i="90"/>
  <c r="D6" i="90"/>
  <c r="D4" i="90"/>
  <c r="Z39" i="89"/>
  <c r="X39" i="89"/>
  <c r="N39" i="89"/>
  <c r="L39" i="89"/>
  <c r="H37" i="89"/>
  <c r="T35" i="89"/>
  <c r="Z35" i="89" s="1"/>
  <c r="P35" i="89"/>
  <c r="N35" i="89"/>
  <c r="H35" i="89"/>
  <c r="D35" i="89"/>
  <c r="X33" i="89"/>
  <c r="Z33" i="89" s="1"/>
  <c r="L33" i="89"/>
  <c r="N33" i="89" s="1"/>
  <c r="B33" i="89"/>
  <c r="Z32" i="89"/>
  <c r="X32" i="89"/>
  <c r="T32" i="89"/>
  <c r="R32" i="89"/>
  <c r="P32" i="89"/>
  <c r="H32" i="89"/>
  <c r="D32" i="89"/>
  <c r="L32" i="89" s="1"/>
  <c r="N32" i="89" s="1"/>
  <c r="B32" i="89"/>
  <c r="X31" i="89"/>
  <c r="Z31" i="89" s="1"/>
  <c r="R31" i="89"/>
  <c r="N31" i="89"/>
  <c r="L31" i="89"/>
  <c r="B31" i="89"/>
  <c r="T30" i="89"/>
  <c r="P30" i="89"/>
  <c r="X30" i="89" s="1"/>
  <c r="Z30" i="89" s="1"/>
  <c r="H30" i="89"/>
  <c r="D30" i="89"/>
  <c r="L30" i="89" s="1"/>
  <c r="N30" i="89" s="1"/>
  <c r="B30" i="89"/>
  <c r="X29" i="89"/>
  <c r="Z29" i="89" s="1"/>
  <c r="R29" i="89"/>
  <c r="L29" i="89"/>
  <c r="N29" i="89" s="1"/>
  <c r="B29" i="89"/>
  <c r="T28" i="89"/>
  <c r="P28" i="89"/>
  <c r="X28" i="89" s="1"/>
  <c r="Z28" i="89" s="1"/>
  <c r="J28" i="89"/>
  <c r="H28" i="89"/>
  <c r="D28" i="89"/>
  <c r="B28" i="89"/>
  <c r="Z27" i="89"/>
  <c r="X27" i="89"/>
  <c r="R27" i="89"/>
  <c r="N27" i="89"/>
  <c r="L27" i="89"/>
  <c r="B27" i="89"/>
  <c r="T26" i="89"/>
  <c r="P26" i="89"/>
  <c r="N26" i="89"/>
  <c r="L26" i="89"/>
  <c r="H26" i="89"/>
  <c r="D26" i="89"/>
  <c r="B26" i="89"/>
  <c r="X25" i="89"/>
  <c r="Z25" i="89" s="1"/>
  <c r="N25" i="89"/>
  <c r="L25" i="89"/>
  <c r="B25" i="89"/>
  <c r="Z24" i="89"/>
  <c r="X24" i="89"/>
  <c r="N24" i="89"/>
  <c r="L24" i="89"/>
  <c r="J24" i="89"/>
  <c r="B24" i="89"/>
  <c r="Z23" i="89"/>
  <c r="X23" i="89"/>
  <c r="N23" i="89"/>
  <c r="L23" i="89"/>
  <c r="F23" i="89"/>
  <c r="B23" i="89"/>
  <c r="Z22" i="89"/>
  <c r="X22" i="89"/>
  <c r="N22" i="89"/>
  <c r="L22" i="89"/>
  <c r="F22" i="89"/>
  <c r="B22" i="89"/>
  <c r="X21" i="89"/>
  <c r="Z21" i="89" s="1"/>
  <c r="N21" i="89"/>
  <c r="L21" i="89"/>
  <c r="B21" i="89"/>
  <c r="Z20" i="89"/>
  <c r="T20" i="89"/>
  <c r="P20" i="89"/>
  <c r="X20" i="89" s="1"/>
  <c r="J20" i="89"/>
  <c r="H20" i="89"/>
  <c r="N20" i="89" s="1"/>
  <c r="D20" i="89"/>
  <c r="L20" i="89" s="1"/>
  <c r="B20" i="89"/>
  <c r="T19" i="89"/>
  <c r="P19" i="89"/>
  <c r="X19" i="89" s="1"/>
  <c r="Z19" i="89" s="1"/>
  <c r="H19" i="89"/>
  <c r="D19" i="89"/>
  <c r="L19" i="89" s="1"/>
  <c r="H17" i="89"/>
  <c r="N17" i="89" s="1"/>
  <c r="Z15" i="89"/>
  <c r="X15" i="89"/>
  <c r="N15" i="89"/>
  <c r="L15" i="89"/>
  <c r="F15" i="89"/>
  <c r="B15" i="89"/>
  <c r="T14" i="89"/>
  <c r="Z14" i="89" s="1"/>
  <c r="R14" i="89"/>
  <c r="P14" i="89"/>
  <c r="X14" i="89" s="1"/>
  <c r="N14" i="89"/>
  <c r="L14" i="89"/>
  <c r="H14" i="89"/>
  <c r="F14" i="89"/>
  <c r="D14" i="89"/>
  <c r="T12" i="89"/>
  <c r="V25" i="89" s="1"/>
  <c r="P12" i="89"/>
  <c r="H12" i="89"/>
  <c r="J32" i="89" s="1"/>
  <c r="D12" i="89"/>
  <c r="F30" i="89" s="1"/>
  <c r="D6" i="89"/>
  <c r="D4" i="89"/>
  <c r="R37" i="88"/>
  <c r="R34" i="88"/>
  <c r="Z32" i="88"/>
  <c r="X32" i="88"/>
  <c r="N32" i="88"/>
  <c r="L32" i="88"/>
  <c r="J32" i="88"/>
  <c r="H30" i="88"/>
  <c r="Z28" i="88"/>
  <c r="X28" i="88"/>
  <c r="T28" i="88"/>
  <c r="P28" i="88"/>
  <c r="N28" i="88"/>
  <c r="J28" i="88"/>
  <c r="H28" i="88"/>
  <c r="D28" i="88"/>
  <c r="L28" i="88" s="1"/>
  <c r="Z26" i="88"/>
  <c r="X26" i="88"/>
  <c r="R26" i="88"/>
  <c r="N26" i="88"/>
  <c r="L26" i="88"/>
  <c r="B26" i="88"/>
  <c r="V25" i="88"/>
  <c r="T25" i="88"/>
  <c r="Z25" i="88" s="1"/>
  <c r="P25" i="88"/>
  <c r="X25" i="88" s="1"/>
  <c r="L25" i="88"/>
  <c r="N25" i="88" s="1"/>
  <c r="H25" i="88"/>
  <c r="D25" i="88"/>
  <c r="B25" i="88"/>
  <c r="X24" i="88"/>
  <c r="Z24" i="88" s="1"/>
  <c r="V24" i="88"/>
  <c r="L24" i="88"/>
  <c r="N24" i="88" s="1"/>
  <c r="J24" i="88"/>
  <c r="B24" i="88"/>
  <c r="X23" i="88"/>
  <c r="Z23" i="88" s="1"/>
  <c r="T23" i="88"/>
  <c r="R23" i="88"/>
  <c r="P23" i="88"/>
  <c r="H23" i="88"/>
  <c r="D23" i="88"/>
  <c r="B23" i="88"/>
  <c r="Z22" i="88"/>
  <c r="X22" i="88"/>
  <c r="N22" i="88"/>
  <c r="L22" i="88"/>
  <c r="B22" i="88"/>
  <c r="T21" i="88"/>
  <c r="P21" i="88"/>
  <c r="N21" i="88"/>
  <c r="H21" i="88"/>
  <c r="D21" i="88"/>
  <c r="L21" i="88" s="1"/>
  <c r="B21" i="88"/>
  <c r="X20" i="88"/>
  <c r="Z20" i="88" s="1"/>
  <c r="V20" i="88"/>
  <c r="L20" i="88"/>
  <c r="N20" i="88" s="1"/>
  <c r="J20" i="88"/>
  <c r="B20" i="88"/>
  <c r="T19" i="88"/>
  <c r="P19" i="88"/>
  <c r="X19" i="88" s="1"/>
  <c r="Z19" i="88" s="1"/>
  <c r="J19" i="88"/>
  <c r="H19" i="88"/>
  <c r="N19" i="88" s="1"/>
  <c r="D19" i="88"/>
  <c r="L19" i="88" s="1"/>
  <c r="B19" i="88"/>
  <c r="T18" i="88"/>
  <c r="R18" i="88"/>
  <c r="P18" i="88"/>
  <c r="J18" i="88"/>
  <c r="H18" i="88"/>
  <c r="D18" i="88"/>
  <c r="L18" i="88" s="1"/>
  <c r="R16" i="88"/>
  <c r="J16" i="88"/>
  <c r="H16" i="88"/>
  <c r="N16" i="88" s="1"/>
  <c r="T14" i="88"/>
  <c r="R14" i="88"/>
  <c r="P14" i="88"/>
  <c r="X14" i="88" s="1"/>
  <c r="J14" i="88"/>
  <c r="H14" i="88"/>
  <c r="N14" i="88" s="1"/>
  <c r="D14" i="88"/>
  <c r="L14" i="88" s="1"/>
  <c r="Z12" i="88"/>
  <c r="T12" i="88"/>
  <c r="V28" i="88" s="1"/>
  <c r="P12" i="88"/>
  <c r="R32" i="88" s="1"/>
  <c r="N12" i="88"/>
  <c r="H12" i="88"/>
  <c r="J34" i="88" s="1"/>
  <c r="D12" i="88"/>
  <c r="D6" i="88"/>
  <c r="D4" i="88"/>
  <c r="Z33" i="87"/>
  <c r="X33" i="87"/>
  <c r="N33" i="87"/>
  <c r="L33" i="87"/>
  <c r="X29" i="87"/>
  <c r="T29" i="87"/>
  <c r="Z29" i="87" s="1"/>
  <c r="P29" i="87"/>
  <c r="H29" i="87"/>
  <c r="N29" i="87" s="1"/>
  <c r="D29" i="87"/>
  <c r="X27" i="87"/>
  <c r="Z27" i="87" s="1"/>
  <c r="L27" i="87"/>
  <c r="N27" i="87" s="1"/>
  <c r="B27" i="87"/>
  <c r="T26" i="87"/>
  <c r="R26" i="87"/>
  <c r="P26" i="87"/>
  <c r="X26" i="87" s="1"/>
  <c r="Z26" i="87" s="1"/>
  <c r="H26" i="87"/>
  <c r="N26" i="87" s="1"/>
  <c r="D26" i="87"/>
  <c r="L26" i="87" s="1"/>
  <c r="B26" i="87"/>
  <c r="Z25" i="87"/>
  <c r="X25" i="87"/>
  <c r="N25" i="87"/>
  <c r="L25" i="87"/>
  <c r="F25" i="87"/>
  <c r="B25" i="87"/>
  <c r="T24" i="87"/>
  <c r="P24" i="87"/>
  <c r="X24" i="87" s="1"/>
  <c r="N24" i="87"/>
  <c r="H24" i="87"/>
  <c r="D24" i="87"/>
  <c r="L24" i="87" s="1"/>
  <c r="B24" i="87"/>
  <c r="Z23" i="87"/>
  <c r="X23" i="87"/>
  <c r="V23" i="87"/>
  <c r="N23" i="87"/>
  <c r="L23" i="87"/>
  <c r="J23" i="87"/>
  <c r="B23" i="87"/>
  <c r="Z22" i="87"/>
  <c r="T22" i="87"/>
  <c r="P22" i="87"/>
  <c r="X22" i="87" s="1"/>
  <c r="J22" i="87"/>
  <c r="H22" i="87"/>
  <c r="N22" i="87" s="1"/>
  <c r="D22" i="87"/>
  <c r="L22" i="87" s="1"/>
  <c r="B22" i="87"/>
  <c r="Z21" i="87"/>
  <c r="X21" i="87"/>
  <c r="R21" i="87"/>
  <c r="N21" i="87"/>
  <c r="L21" i="87"/>
  <c r="B21" i="87"/>
  <c r="X20" i="87"/>
  <c r="Z20" i="87" s="1"/>
  <c r="V20" i="87"/>
  <c r="R20" i="87"/>
  <c r="N20" i="87"/>
  <c r="L20" i="87"/>
  <c r="F20" i="87"/>
  <c r="B20" i="87"/>
  <c r="X19" i="87"/>
  <c r="V19" i="87"/>
  <c r="T19" i="87"/>
  <c r="P19" i="87"/>
  <c r="H19" i="87"/>
  <c r="N19" i="87" s="1"/>
  <c r="F19" i="87"/>
  <c r="D19" i="87"/>
  <c r="L19" i="87" s="1"/>
  <c r="B19" i="87"/>
  <c r="T18" i="87"/>
  <c r="Z18" i="87" s="1"/>
  <c r="R18" i="87"/>
  <c r="P18" i="87"/>
  <c r="X18" i="87" s="1"/>
  <c r="H18" i="87"/>
  <c r="N18" i="87" s="1"/>
  <c r="D18" i="87"/>
  <c r="L18" i="87" s="1"/>
  <c r="J16" i="87"/>
  <c r="H16" i="87"/>
  <c r="T14" i="87"/>
  <c r="Z14" i="87" s="1"/>
  <c r="R14" i="87"/>
  <c r="P14" i="87"/>
  <c r="P16" i="87" s="1"/>
  <c r="H14" i="87"/>
  <c r="N14" i="87" s="1"/>
  <c r="D14" i="87"/>
  <c r="L14" i="87" s="1"/>
  <c r="Z12" i="87"/>
  <c r="X12" i="87"/>
  <c r="T12" i="87"/>
  <c r="V22" i="87" s="1"/>
  <c r="P12" i="87"/>
  <c r="R23" i="87" s="1"/>
  <c r="L12" i="87"/>
  <c r="H12" i="87"/>
  <c r="J24" i="87" s="1"/>
  <c r="D12" i="87"/>
  <c r="F33" i="87" s="1"/>
  <c r="D6" i="87"/>
  <c r="D4" i="87"/>
  <c r="F64" i="86"/>
  <c r="Z62" i="86"/>
  <c r="X62" i="86"/>
  <c r="N62" i="86"/>
  <c r="L62" i="86"/>
  <c r="T58" i="86"/>
  <c r="P58" i="86"/>
  <c r="H58" i="86"/>
  <c r="D58" i="86"/>
  <c r="L58" i="86" s="1"/>
  <c r="B58" i="86"/>
  <c r="P57" i="86"/>
  <c r="X55" i="86"/>
  <c r="Z55" i="86" s="1"/>
  <c r="L55" i="86"/>
  <c r="N55" i="86" s="1"/>
  <c r="B55" i="86"/>
  <c r="Z54" i="86"/>
  <c r="X54" i="86"/>
  <c r="T54" i="86"/>
  <c r="P54" i="86"/>
  <c r="H54" i="86"/>
  <c r="D54" i="86"/>
  <c r="B54" i="86"/>
  <c r="Z53" i="86"/>
  <c r="X53" i="86"/>
  <c r="N53" i="86"/>
  <c r="L53" i="86"/>
  <c r="B53" i="86"/>
  <c r="Z52" i="86"/>
  <c r="X52" i="86"/>
  <c r="N52" i="86"/>
  <c r="L52" i="86"/>
  <c r="B52" i="86"/>
  <c r="Z51" i="86"/>
  <c r="X51" i="86"/>
  <c r="N51" i="86"/>
  <c r="L51" i="86"/>
  <c r="B51" i="86"/>
  <c r="Z50" i="86"/>
  <c r="X50" i="86"/>
  <c r="T50" i="86"/>
  <c r="P50" i="86"/>
  <c r="H50" i="86"/>
  <c r="N50" i="86" s="1"/>
  <c r="D50" i="86"/>
  <c r="B50" i="86"/>
  <c r="Z49" i="86"/>
  <c r="X49" i="86"/>
  <c r="N49" i="86"/>
  <c r="L49" i="86"/>
  <c r="B49" i="86"/>
  <c r="T48" i="86"/>
  <c r="P48" i="86"/>
  <c r="H48" i="86"/>
  <c r="N48" i="86" s="1"/>
  <c r="D48" i="86"/>
  <c r="L48" i="86" s="1"/>
  <c r="B48" i="86"/>
  <c r="Z47" i="86"/>
  <c r="X47" i="86"/>
  <c r="N47" i="86"/>
  <c r="L47" i="86"/>
  <c r="B47" i="86"/>
  <c r="X46" i="86"/>
  <c r="Z46" i="86" s="1"/>
  <c r="L46" i="86"/>
  <c r="N46" i="86" s="1"/>
  <c r="B46" i="86"/>
  <c r="T45" i="86"/>
  <c r="P45" i="86"/>
  <c r="X45" i="86" s="1"/>
  <c r="H45" i="86"/>
  <c r="D45" i="86"/>
  <c r="L45" i="86" s="1"/>
  <c r="N45" i="86" s="1"/>
  <c r="B45" i="86"/>
  <c r="X44" i="86"/>
  <c r="Z44" i="86" s="1"/>
  <c r="N44" i="86"/>
  <c r="L44" i="86"/>
  <c r="B44" i="86"/>
  <c r="T43" i="86"/>
  <c r="P43" i="86"/>
  <c r="X43" i="86" s="1"/>
  <c r="Z43" i="86" s="1"/>
  <c r="N43" i="86"/>
  <c r="L43" i="86"/>
  <c r="H43" i="86"/>
  <c r="D43" i="86"/>
  <c r="B43" i="86"/>
  <c r="X42" i="86"/>
  <c r="Z42" i="86" s="1"/>
  <c r="N42" i="86"/>
  <c r="L42" i="86"/>
  <c r="B42" i="86"/>
  <c r="Z41" i="86"/>
  <c r="X41" i="86"/>
  <c r="T41" i="86"/>
  <c r="P41" i="86"/>
  <c r="L41" i="86"/>
  <c r="H41" i="86"/>
  <c r="N41" i="86" s="1"/>
  <c r="D41" i="86"/>
  <c r="B41" i="86"/>
  <c r="X40" i="86"/>
  <c r="Z40" i="86" s="1"/>
  <c r="N40" i="86"/>
  <c r="L40" i="86"/>
  <c r="F40" i="86"/>
  <c r="B40" i="86"/>
  <c r="X39" i="86"/>
  <c r="Z39" i="86" s="1"/>
  <c r="L39" i="86"/>
  <c r="N39" i="86" s="1"/>
  <c r="B39" i="86"/>
  <c r="X38" i="86"/>
  <c r="Z38" i="86" s="1"/>
  <c r="T38" i="86"/>
  <c r="P38" i="86"/>
  <c r="H38" i="86"/>
  <c r="D38" i="86"/>
  <c r="B38" i="86"/>
  <c r="Z37" i="86"/>
  <c r="X37" i="86"/>
  <c r="N37" i="86"/>
  <c r="L37" i="86"/>
  <c r="B37" i="86"/>
  <c r="T36" i="86"/>
  <c r="Z36" i="86" s="1"/>
  <c r="P36" i="86"/>
  <c r="L36" i="86"/>
  <c r="H36" i="86"/>
  <c r="N36" i="86" s="1"/>
  <c r="D36" i="86"/>
  <c r="B36" i="86"/>
  <c r="Z35" i="86"/>
  <c r="X35" i="86"/>
  <c r="N35" i="86"/>
  <c r="L35" i="86"/>
  <c r="B35" i="86"/>
  <c r="X34" i="86"/>
  <c r="T34" i="86"/>
  <c r="Z34" i="86" s="1"/>
  <c r="P34" i="86"/>
  <c r="L34" i="86"/>
  <c r="H34" i="86"/>
  <c r="N34" i="86" s="1"/>
  <c r="D34" i="86"/>
  <c r="B34" i="86"/>
  <c r="Z33" i="86"/>
  <c r="X33" i="86"/>
  <c r="N33" i="86"/>
  <c r="L33" i="86"/>
  <c r="B33" i="86"/>
  <c r="Z32" i="86"/>
  <c r="X32" i="86"/>
  <c r="N32" i="86"/>
  <c r="L32" i="86"/>
  <c r="B32" i="86"/>
  <c r="Z31" i="86"/>
  <c r="X31" i="86"/>
  <c r="R31" i="86"/>
  <c r="N31" i="86"/>
  <c r="L31" i="86"/>
  <c r="B31" i="86"/>
  <c r="Z30" i="86"/>
  <c r="X30" i="86"/>
  <c r="V30" i="86"/>
  <c r="N30" i="86"/>
  <c r="L30" i="86"/>
  <c r="B30" i="86"/>
  <c r="X29" i="86"/>
  <c r="Z29" i="86" s="1"/>
  <c r="T29" i="86"/>
  <c r="P29" i="86"/>
  <c r="H29" i="86"/>
  <c r="D29" i="86"/>
  <c r="B29" i="86"/>
  <c r="Z28" i="86"/>
  <c r="X28" i="86"/>
  <c r="N28" i="86"/>
  <c r="L28" i="86"/>
  <c r="B28" i="86"/>
  <c r="X27" i="86"/>
  <c r="Z27" i="86" s="1"/>
  <c r="R27" i="86"/>
  <c r="N27" i="86"/>
  <c r="L27" i="86"/>
  <c r="F27" i="86"/>
  <c r="B27" i="86"/>
  <c r="Z26" i="86"/>
  <c r="X26" i="86"/>
  <c r="N26" i="86"/>
  <c r="L26" i="86"/>
  <c r="B26" i="86"/>
  <c r="X25" i="86"/>
  <c r="Z25" i="86" s="1"/>
  <c r="N25" i="86"/>
  <c r="L25" i="86"/>
  <c r="F25" i="86"/>
  <c r="B25" i="86"/>
  <c r="Z24" i="86"/>
  <c r="X24" i="86"/>
  <c r="N24" i="86"/>
  <c r="L24" i="86"/>
  <c r="B24" i="86"/>
  <c r="X23" i="86"/>
  <c r="Z23" i="86" s="1"/>
  <c r="R23" i="86"/>
  <c r="N23" i="86"/>
  <c r="L23" i="86"/>
  <c r="F23" i="86"/>
  <c r="B23" i="86"/>
  <c r="Z22" i="86"/>
  <c r="X22" i="86"/>
  <c r="N22" i="86"/>
  <c r="L22" i="86"/>
  <c r="J22" i="86"/>
  <c r="B22" i="86"/>
  <c r="X21" i="86"/>
  <c r="Z21" i="86" s="1"/>
  <c r="R21" i="86"/>
  <c r="N21" i="86"/>
  <c r="L21" i="86"/>
  <c r="F21" i="86"/>
  <c r="B21" i="86"/>
  <c r="T20" i="86"/>
  <c r="R20" i="86"/>
  <c r="P20" i="86"/>
  <c r="X20" i="86" s="1"/>
  <c r="Z20" i="86" s="1"/>
  <c r="N20" i="86"/>
  <c r="H20" i="86"/>
  <c r="F20" i="86"/>
  <c r="D20" i="86"/>
  <c r="L20" i="86" s="1"/>
  <c r="B20" i="86"/>
  <c r="T19" i="86"/>
  <c r="P19" i="86"/>
  <c r="X19" i="86" s="1"/>
  <c r="L19" i="86"/>
  <c r="H19" i="86"/>
  <c r="F19" i="86"/>
  <c r="D19" i="86"/>
  <c r="P17" i="86"/>
  <c r="F17" i="86"/>
  <c r="D17" i="86"/>
  <c r="Z15" i="86"/>
  <c r="X15" i="86"/>
  <c r="R15" i="86"/>
  <c r="N15" i="86"/>
  <c r="L15" i="86"/>
  <c r="F15" i="86"/>
  <c r="B15" i="86"/>
  <c r="Z14" i="86"/>
  <c r="T14" i="86"/>
  <c r="R14" i="86"/>
  <c r="P14" i="86"/>
  <c r="X14" i="86" s="1"/>
  <c r="N14" i="86"/>
  <c r="H14" i="86"/>
  <c r="L14" i="86" s="1"/>
  <c r="F14" i="86"/>
  <c r="D14" i="86"/>
  <c r="T12" i="86"/>
  <c r="P12" i="86"/>
  <c r="H12" i="86"/>
  <c r="J62" i="86" s="1"/>
  <c r="D12" i="86"/>
  <c r="F24" i="86" s="1"/>
  <c r="D6" i="86"/>
  <c r="D4" i="86"/>
  <c r="Z81" i="85"/>
  <c r="X81" i="85"/>
  <c r="N81" i="85"/>
  <c r="L81" i="85"/>
  <c r="Z77" i="85"/>
  <c r="T77" i="85"/>
  <c r="X77" i="85" s="1"/>
  <c r="P77" i="85"/>
  <c r="N77" i="85"/>
  <c r="H77" i="85"/>
  <c r="D77" i="85"/>
  <c r="L77" i="85" s="1"/>
  <c r="B77" i="85"/>
  <c r="T76" i="85"/>
  <c r="Z76" i="85" s="1"/>
  <c r="P76" i="85"/>
  <c r="X76" i="85" s="1"/>
  <c r="L76" i="85"/>
  <c r="H76" i="85"/>
  <c r="N76" i="85" s="1"/>
  <c r="D76" i="85"/>
  <c r="X74" i="85"/>
  <c r="Z74" i="85" s="1"/>
  <c r="L74" i="85"/>
  <c r="N74" i="85" s="1"/>
  <c r="B74" i="85"/>
  <c r="Z73" i="85"/>
  <c r="X73" i="85"/>
  <c r="T73" i="85"/>
  <c r="P73" i="85"/>
  <c r="H73" i="85"/>
  <c r="D73" i="85"/>
  <c r="L73" i="85" s="1"/>
  <c r="N73" i="85" s="1"/>
  <c r="B73" i="85"/>
  <c r="X72" i="85"/>
  <c r="Z72" i="85" s="1"/>
  <c r="L72" i="85"/>
  <c r="N72" i="85" s="1"/>
  <c r="B72" i="85"/>
  <c r="T71" i="85"/>
  <c r="P71" i="85"/>
  <c r="X71" i="85" s="1"/>
  <c r="Z71" i="85" s="1"/>
  <c r="H71" i="85"/>
  <c r="D71" i="85"/>
  <c r="L71" i="85" s="1"/>
  <c r="N71" i="85" s="1"/>
  <c r="B71" i="85"/>
  <c r="Z70" i="85"/>
  <c r="X70" i="85"/>
  <c r="N70" i="85"/>
  <c r="L70" i="85"/>
  <c r="B70" i="85"/>
  <c r="Z69" i="85"/>
  <c r="X69" i="85"/>
  <c r="N69" i="85"/>
  <c r="L69" i="85"/>
  <c r="B69" i="85"/>
  <c r="Z68" i="85"/>
  <c r="X68" i="85"/>
  <c r="N68" i="85"/>
  <c r="L68" i="85"/>
  <c r="B68" i="85"/>
  <c r="Z67" i="85"/>
  <c r="X67" i="85"/>
  <c r="N67" i="85"/>
  <c r="L67" i="85"/>
  <c r="B67" i="85"/>
  <c r="X66" i="85"/>
  <c r="Z66" i="85" s="1"/>
  <c r="L66" i="85"/>
  <c r="N66" i="85" s="1"/>
  <c r="B66" i="85"/>
  <c r="Z65" i="85"/>
  <c r="X65" i="85"/>
  <c r="N65" i="85"/>
  <c r="L65" i="85"/>
  <c r="B65" i="85"/>
  <c r="X64" i="85"/>
  <c r="T64" i="85"/>
  <c r="P64" i="85"/>
  <c r="H64" i="85"/>
  <c r="D64" i="85"/>
  <c r="B64" i="85"/>
  <c r="Z63" i="85"/>
  <c r="X63" i="85"/>
  <c r="N63" i="85"/>
  <c r="L63" i="85"/>
  <c r="B63" i="85"/>
  <c r="T62" i="85"/>
  <c r="P62" i="85"/>
  <c r="H62" i="85"/>
  <c r="N62" i="85" s="1"/>
  <c r="D62" i="85"/>
  <c r="L62" i="85" s="1"/>
  <c r="B62" i="85"/>
  <c r="Z61" i="85"/>
  <c r="X61" i="85"/>
  <c r="N61" i="85"/>
  <c r="L61" i="85"/>
  <c r="J61" i="85"/>
  <c r="B61" i="85"/>
  <c r="X60" i="85"/>
  <c r="Z60" i="85" s="1"/>
  <c r="L60" i="85"/>
  <c r="N60" i="85" s="1"/>
  <c r="B60" i="85"/>
  <c r="Z59" i="85"/>
  <c r="X59" i="85"/>
  <c r="N59" i="85"/>
  <c r="L59" i="85"/>
  <c r="B59" i="85"/>
  <c r="X58" i="85"/>
  <c r="Z58" i="85" s="1"/>
  <c r="L58" i="85"/>
  <c r="N58" i="85" s="1"/>
  <c r="B58" i="85"/>
  <c r="T57" i="85"/>
  <c r="P57" i="85"/>
  <c r="X57" i="85" s="1"/>
  <c r="Z57" i="85" s="1"/>
  <c r="H57" i="85"/>
  <c r="F57" i="85"/>
  <c r="D57" i="85"/>
  <c r="L57" i="85" s="1"/>
  <c r="N57" i="85" s="1"/>
  <c r="B57" i="85"/>
  <c r="X56" i="85"/>
  <c r="Z56" i="85" s="1"/>
  <c r="L56" i="85"/>
  <c r="N56" i="85" s="1"/>
  <c r="B56" i="85"/>
  <c r="Z55" i="85"/>
  <c r="X55" i="85"/>
  <c r="N55" i="85"/>
  <c r="L55" i="85"/>
  <c r="B55" i="85"/>
  <c r="T54" i="85"/>
  <c r="P54" i="85"/>
  <c r="H54" i="85"/>
  <c r="D54" i="85"/>
  <c r="L54" i="85" s="1"/>
  <c r="B54" i="85"/>
  <c r="Z53" i="85"/>
  <c r="X53" i="85"/>
  <c r="N53" i="85"/>
  <c r="L53" i="85"/>
  <c r="B53" i="85"/>
  <c r="T52" i="85"/>
  <c r="Z52" i="85" s="1"/>
  <c r="P52" i="85"/>
  <c r="X52" i="85" s="1"/>
  <c r="H52" i="85"/>
  <c r="D52" i="85"/>
  <c r="L52" i="85" s="1"/>
  <c r="B52" i="85"/>
  <c r="Z51" i="85"/>
  <c r="X51" i="85"/>
  <c r="N51" i="85"/>
  <c r="L51" i="85"/>
  <c r="B51" i="85"/>
  <c r="T50" i="85"/>
  <c r="P50" i="85"/>
  <c r="X50" i="85" s="1"/>
  <c r="L50" i="85"/>
  <c r="H50" i="85"/>
  <c r="D50" i="85"/>
  <c r="B50" i="85"/>
  <c r="Z49" i="85"/>
  <c r="X49" i="85"/>
  <c r="N49" i="85"/>
  <c r="L49" i="85"/>
  <c r="B49" i="85"/>
  <c r="X48" i="85"/>
  <c r="T48" i="85"/>
  <c r="Z48" i="85" s="1"/>
  <c r="P48" i="85"/>
  <c r="H48" i="85"/>
  <c r="D48" i="85"/>
  <c r="B48" i="85"/>
  <c r="Z47" i="85"/>
  <c r="X47" i="85"/>
  <c r="N47" i="85"/>
  <c r="L47" i="85"/>
  <c r="B47" i="85"/>
  <c r="T46" i="85"/>
  <c r="P46" i="85"/>
  <c r="X46" i="85" s="1"/>
  <c r="H46" i="85"/>
  <c r="N46" i="85" s="1"/>
  <c r="D46" i="85"/>
  <c r="L46" i="85" s="1"/>
  <c r="B46" i="85"/>
  <c r="Z45" i="85"/>
  <c r="X45" i="85"/>
  <c r="N45" i="85"/>
  <c r="L45" i="85"/>
  <c r="J45" i="85"/>
  <c r="B45" i="85"/>
  <c r="X44" i="85"/>
  <c r="Z44" i="85" s="1"/>
  <c r="L44" i="85"/>
  <c r="N44" i="85" s="1"/>
  <c r="B44" i="85"/>
  <c r="T43" i="85"/>
  <c r="P43" i="85"/>
  <c r="X43" i="85" s="1"/>
  <c r="Z43" i="85" s="1"/>
  <c r="N43" i="85"/>
  <c r="L43" i="85"/>
  <c r="H43" i="85"/>
  <c r="D43" i="85"/>
  <c r="B43" i="85"/>
  <c r="X42" i="85"/>
  <c r="Z42" i="85" s="1"/>
  <c r="L42" i="85"/>
  <c r="N42" i="85" s="1"/>
  <c r="B42" i="85"/>
  <c r="Z41" i="85"/>
  <c r="X41" i="85"/>
  <c r="T41" i="85"/>
  <c r="P41" i="85"/>
  <c r="H41" i="85"/>
  <c r="L41" i="85" s="1"/>
  <c r="N41" i="85" s="1"/>
  <c r="D41" i="85"/>
  <c r="B41" i="85"/>
  <c r="X40" i="85"/>
  <c r="Z40" i="85" s="1"/>
  <c r="L40" i="85"/>
  <c r="N40" i="85" s="1"/>
  <c r="B40" i="85"/>
  <c r="T39" i="85"/>
  <c r="X39" i="85" s="1"/>
  <c r="Z39" i="85" s="1"/>
  <c r="P39" i="85"/>
  <c r="H39" i="85"/>
  <c r="D39" i="85"/>
  <c r="L39" i="85" s="1"/>
  <c r="N39" i="85" s="1"/>
  <c r="B39" i="85"/>
  <c r="X38" i="85"/>
  <c r="Z38" i="85" s="1"/>
  <c r="N38" i="85"/>
  <c r="L38" i="85"/>
  <c r="B38" i="85"/>
  <c r="T37" i="85"/>
  <c r="P37" i="85"/>
  <c r="X37" i="85" s="1"/>
  <c r="Z37" i="85" s="1"/>
  <c r="N37" i="85"/>
  <c r="H37" i="85"/>
  <c r="D37" i="85"/>
  <c r="L37" i="85" s="1"/>
  <c r="B37" i="85"/>
  <c r="X36" i="85"/>
  <c r="Z36" i="85" s="1"/>
  <c r="L36" i="85"/>
  <c r="N36" i="85" s="1"/>
  <c r="B36" i="85"/>
  <c r="Z35" i="85"/>
  <c r="X35" i="85"/>
  <c r="N35" i="85"/>
  <c r="L35" i="85"/>
  <c r="B35" i="85"/>
  <c r="X34" i="85"/>
  <c r="Z34" i="85" s="1"/>
  <c r="L34" i="85"/>
  <c r="N34" i="85" s="1"/>
  <c r="B34" i="85"/>
  <c r="Z33" i="85"/>
  <c r="X33" i="85"/>
  <c r="N33" i="85"/>
  <c r="L33" i="85"/>
  <c r="B33" i="85"/>
  <c r="X32" i="85"/>
  <c r="T32" i="85"/>
  <c r="P32" i="85"/>
  <c r="H32" i="85"/>
  <c r="D32" i="85"/>
  <c r="L32" i="85" s="1"/>
  <c r="B32" i="85"/>
  <c r="Z31" i="85"/>
  <c r="X31" i="85"/>
  <c r="N31" i="85"/>
  <c r="L31" i="85"/>
  <c r="B31" i="85"/>
  <c r="X30" i="85"/>
  <c r="Z30" i="85" s="1"/>
  <c r="L30" i="85"/>
  <c r="N30" i="85" s="1"/>
  <c r="B30" i="85"/>
  <c r="Z29" i="85"/>
  <c r="X29" i="85"/>
  <c r="N29" i="85"/>
  <c r="L29" i="85"/>
  <c r="B29" i="85"/>
  <c r="X28" i="85"/>
  <c r="Z28" i="85" s="1"/>
  <c r="L28" i="85"/>
  <c r="N28" i="85" s="1"/>
  <c r="B28" i="85"/>
  <c r="Z27" i="85"/>
  <c r="X27" i="85"/>
  <c r="N27" i="85"/>
  <c r="L27" i="85"/>
  <c r="B27" i="85"/>
  <c r="X26" i="85"/>
  <c r="Z26" i="85" s="1"/>
  <c r="L26" i="85"/>
  <c r="N26" i="85" s="1"/>
  <c r="F26" i="85"/>
  <c r="B26" i="85"/>
  <c r="Z25" i="85"/>
  <c r="X25" i="85"/>
  <c r="N25" i="85"/>
  <c r="L25" i="85"/>
  <c r="B25" i="85"/>
  <c r="X24" i="85"/>
  <c r="Z24" i="85" s="1"/>
  <c r="L24" i="85"/>
  <c r="N24" i="85" s="1"/>
  <c r="B24" i="85"/>
  <c r="T23" i="85"/>
  <c r="P23" i="85"/>
  <c r="X23" i="85" s="1"/>
  <c r="Z23" i="85" s="1"/>
  <c r="N23" i="85"/>
  <c r="L23" i="85"/>
  <c r="H23" i="85"/>
  <c r="D23" i="85"/>
  <c r="B23" i="85"/>
  <c r="T22" i="85"/>
  <c r="P22" i="85"/>
  <c r="X22" i="85" s="1"/>
  <c r="H22" i="85"/>
  <c r="D22" i="85"/>
  <c r="L22" i="85" s="1"/>
  <c r="H20" i="85"/>
  <c r="X18" i="85"/>
  <c r="Z18" i="85" s="1"/>
  <c r="R18" i="85"/>
  <c r="L18" i="85"/>
  <c r="N18" i="85" s="1"/>
  <c r="B18" i="85"/>
  <c r="Z17" i="85"/>
  <c r="X17" i="85"/>
  <c r="N17" i="85"/>
  <c r="L17" i="85"/>
  <c r="J17" i="85"/>
  <c r="B17" i="85"/>
  <c r="T16" i="85"/>
  <c r="P16" i="85"/>
  <c r="X16" i="85" s="1"/>
  <c r="H16" i="85"/>
  <c r="D16" i="85"/>
  <c r="L16" i="85" s="1"/>
  <c r="X14" i="85"/>
  <c r="Z14" i="85" s="1"/>
  <c r="T14" i="85"/>
  <c r="P14" i="85"/>
  <c r="H14" i="85"/>
  <c r="D14" i="85"/>
  <c r="D12" i="85" s="1"/>
  <c r="B14" i="85"/>
  <c r="T13" i="85"/>
  <c r="T12" i="85" s="1"/>
  <c r="V49" i="85" s="1"/>
  <c r="P13" i="85"/>
  <c r="H13" i="85"/>
  <c r="H12" i="85" s="1"/>
  <c r="D13" i="85"/>
  <c r="L13" i="85" s="1"/>
  <c r="N13" i="85" s="1"/>
  <c r="B13" i="85"/>
  <c r="P12" i="85"/>
  <c r="L12" i="85"/>
  <c r="D6" i="85"/>
  <c r="D4" i="85"/>
  <c r="X33" i="84"/>
  <c r="Z33" i="84" s="1"/>
  <c r="L33" i="84"/>
  <c r="N33" i="84" s="1"/>
  <c r="T29" i="84"/>
  <c r="Z29" i="84" s="1"/>
  <c r="P29" i="84"/>
  <c r="X29" i="84" s="1"/>
  <c r="H29" i="84"/>
  <c r="N29" i="84" s="1"/>
  <c r="D29" i="84"/>
  <c r="L29" i="84" s="1"/>
  <c r="X27" i="84"/>
  <c r="Z27" i="84" s="1"/>
  <c r="L27" i="84"/>
  <c r="N27" i="84" s="1"/>
  <c r="B27" i="84"/>
  <c r="Z26" i="84"/>
  <c r="T26" i="84"/>
  <c r="P26" i="84"/>
  <c r="X26" i="84" s="1"/>
  <c r="N26" i="84"/>
  <c r="L26" i="84"/>
  <c r="H26" i="84"/>
  <c r="D26" i="84"/>
  <c r="B26" i="84"/>
  <c r="X25" i="84"/>
  <c r="Z25" i="84" s="1"/>
  <c r="L25" i="84"/>
  <c r="N25" i="84" s="1"/>
  <c r="B25" i="84"/>
  <c r="Z24" i="84"/>
  <c r="T24" i="84"/>
  <c r="P24" i="84"/>
  <c r="X24" i="84" s="1"/>
  <c r="H24" i="84"/>
  <c r="D24" i="84"/>
  <c r="B24" i="84"/>
  <c r="X23" i="84"/>
  <c r="Z23" i="84" s="1"/>
  <c r="N23" i="84"/>
  <c r="L23" i="84"/>
  <c r="B23" i="84"/>
  <c r="T22" i="84"/>
  <c r="P22" i="84"/>
  <c r="X22" i="84" s="1"/>
  <c r="Z22" i="84" s="1"/>
  <c r="H22" i="84"/>
  <c r="D22" i="84"/>
  <c r="B22" i="84"/>
  <c r="Z21" i="84"/>
  <c r="X21" i="84"/>
  <c r="N21" i="84"/>
  <c r="L21" i="84"/>
  <c r="F21" i="84"/>
  <c r="B21" i="84"/>
  <c r="T20" i="84"/>
  <c r="P20" i="84"/>
  <c r="N20" i="84"/>
  <c r="L20" i="84"/>
  <c r="H20" i="84"/>
  <c r="D20" i="84"/>
  <c r="B20" i="84"/>
  <c r="X19" i="84"/>
  <c r="V19" i="84"/>
  <c r="T19" i="84"/>
  <c r="Z19" i="84" s="1"/>
  <c r="P19" i="84"/>
  <c r="H19" i="84"/>
  <c r="F19" i="84"/>
  <c r="D19" i="84"/>
  <c r="X15" i="84"/>
  <c r="V15" i="84"/>
  <c r="T15" i="84"/>
  <c r="Z15" i="84" s="1"/>
  <c r="P15" i="84"/>
  <c r="H15" i="84"/>
  <c r="D15" i="84"/>
  <c r="T13" i="84"/>
  <c r="P13" i="84"/>
  <c r="X13" i="84" s="1"/>
  <c r="L13" i="84"/>
  <c r="H13" i="84"/>
  <c r="D13" i="84"/>
  <c r="D12" i="84" s="1"/>
  <c r="B13" i="84"/>
  <c r="T12" i="84"/>
  <c r="V26" i="84" s="1"/>
  <c r="D6" i="84"/>
  <c r="D4" i="84"/>
  <c r="V45" i="83"/>
  <c r="F45" i="83"/>
  <c r="Z40" i="83"/>
  <c r="X40" i="83"/>
  <c r="V40" i="83"/>
  <c r="R40" i="83"/>
  <c r="N40" i="83"/>
  <c r="L40" i="83"/>
  <c r="V38" i="83"/>
  <c r="T36" i="83"/>
  <c r="Z36" i="83" s="1"/>
  <c r="P36" i="83"/>
  <c r="N36" i="83"/>
  <c r="L36" i="83"/>
  <c r="H36" i="83"/>
  <c r="D36" i="83"/>
  <c r="Z34" i="83"/>
  <c r="X34" i="83"/>
  <c r="V34" i="83"/>
  <c r="R34" i="83"/>
  <c r="N34" i="83"/>
  <c r="L34" i="83"/>
  <c r="B34" i="83"/>
  <c r="X33" i="83"/>
  <c r="V33" i="83"/>
  <c r="T33" i="83"/>
  <c r="Z33" i="83" s="1"/>
  <c r="P33" i="83"/>
  <c r="H33" i="83"/>
  <c r="F33" i="83"/>
  <c r="D33" i="83"/>
  <c r="B33" i="83"/>
  <c r="X32" i="83"/>
  <c r="Z32" i="83" s="1"/>
  <c r="N32" i="83"/>
  <c r="L32" i="83"/>
  <c r="B32" i="83"/>
  <c r="T31" i="83"/>
  <c r="R31" i="83"/>
  <c r="P31" i="83"/>
  <c r="H31" i="83"/>
  <c r="N31" i="83" s="1"/>
  <c r="D31" i="83"/>
  <c r="L31" i="83" s="1"/>
  <c r="B31" i="83"/>
  <c r="Z30" i="83"/>
  <c r="X30" i="83"/>
  <c r="N30" i="83"/>
  <c r="L30" i="83"/>
  <c r="B30" i="83"/>
  <c r="T29" i="83"/>
  <c r="P29" i="83"/>
  <c r="X29" i="83" s="1"/>
  <c r="H29" i="83"/>
  <c r="D29" i="83"/>
  <c r="L29" i="83" s="1"/>
  <c r="N29" i="83" s="1"/>
  <c r="B29" i="83"/>
  <c r="Z28" i="83"/>
  <c r="X28" i="83"/>
  <c r="L28" i="83"/>
  <c r="N28" i="83" s="1"/>
  <c r="B28" i="83"/>
  <c r="T27" i="83"/>
  <c r="P27" i="83"/>
  <c r="X27" i="83" s="1"/>
  <c r="Z27" i="83" s="1"/>
  <c r="L27" i="83"/>
  <c r="H27" i="83"/>
  <c r="N27" i="83" s="1"/>
  <c r="D27" i="83"/>
  <c r="B27" i="83"/>
  <c r="Z26" i="83"/>
  <c r="X26" i="83"/>
  <c r="V26" i="83"/>
  <c r="R26" i="83"/>
  <c r="N26" i="83"/>
  <c r="L26" i="83"/>
  <c r="B26" i="83"/>
  <c r="X25" i="83"/>
  <c r="V25" i="83"/>
  <c r="T25" i="83"/>
  <c r="P25" i="83"/>
  <c r="H25" i="83"/>
  <c r="D25" i="83"/>
  <c r="B25" i="83"/>
  <c r="X24" i="83"/>
  <c r="Z24" i="83" s="1"/>
  <c r="V24" i="83"/>
  <c r="N24" i="83"/>
  <c r="L24" i="83"/>
  <c r="B24" i="83"/>
  <c r="X23" i="83"/>
  <c r="Z23" i="83" s="1"/>
  <c r="R23" i="83"/>
  <c r="N23" i="83"/>
  <c r="L23" i="83"/>
  <c r="B23" i="83"/>
  <c r="Z22" i="83"/>
  <c r="X22" i="83"/>
  <c r="V22" i="83"/>
  <c r="R22" i="83"/>
  <c r="N22" i="83"/>
  <c r="L22" i="83"/>
  <c r="B22" i="83"/>
  <c r="X21" i="83"/>
  <c r="Z21" i="83" s="1"/>
  <c r="V21" i="83"/>
  <c r="N21" i="83"/>
  <c r="L21" i="83"/>
  <c r="B21" i="83"/>
  <c r="X20" i="83"/>
  <c r="Z20" i="83" s="1"/>
  <c r="V20" i="83"/>
  <c r="N20" i="83"/>
  <c r="L20" i="83"/>
  <c r="B20" i="83"/>
  <c r="Z19" i="83"/>
  <c r="T19" i="83"/>
  <c r="P19" i="83"/>
  <c r="X19" i="83" s="1"/>
  <c r="L19" i="83"/>
  <c r="H19" i="83"/>
  <c r="N19" i="83" s="1"/>
  <c r="D19" i="83"/>
  <c r="B19" i="83"/>
  <c r="V18" i="83"/>
  <c r="T18" i="83"/>
  <c r="P18" i="83"/>
  <c r="H18" i="83"/>
  <c r="F18" i="83"/>
  <c r="D18" i="83"/>
  <c r="L18" i="83" s="1"/>
  <c r="N18" i="83" s="1"/>
  <c r="R16" i="83"/>
  <c r="V14" i="83"/>
  <c r="T14" i="83"/>
  <c r="R14" i="83"/>
  <c r="P14" i="83"/>
  <c r="X14" i="83" s="1"/>
  <c r="N14" i="83"/>
  <c r="H14" i="83"/>
  <c r="F14" i="83"/>
  <c r="D14" i="83"/>
  <c r="L14" i="83" s="1"/>
  <c r="Z12" i="83"/>
  <c r="T12" i="83"/>
  <c r="V28" i="83" s="1"/>
  <c r="P12" i="83"/>
  <c r="R45" i="83" s="1"/>
  <c r="H12" i="83"/>
  <c r="D12" i="83"/>
  <c r="D6" i="83"/>
  <c r="D4" i="83"/>
  <c r="J36" i="82"/>
  <c r="Z34" i="82"/>
  <c r="X34" i="82"/>
  <c r="N34" i="82"/>
  <c r="L34" i="82"/>
  <c r="Z30" i="82"/>
  <c r="X30" i="82"/>
  <c r="T30" i="82"/>
  <c r="P30" i="82"/>
  <c r="J30" i="82"/>
  <c r="H30" i="82"/>
  <c r="N30" i="82" s="1"/>
  <c r="D30" i="82"/>
  <c r="X28" i="82"/>
  <c r="Z28" i="82" s="1"/>
  <c r="N28" i="82"/>
  <c r="L28" i="82"/>
  <c r="B28" i="82"/>
  <c r="T27" i="82"/>
  <c r="P27" i="82"/>
  <c r="H27" i="82"/>
  <c r="D27" i="82"/>
  <c r="L27" i="82" s="1"/>
  <c r="B27" i="82"/>
  <c r="X26" i="82"/>
  <c r="Z26" i="82" s="1"/>
  <c r="N26" i="82"/>
  <c r="L26" i="82"/>
  <c r="J26" i="82"/>
  <c r="F26" i="82"/>
  <c r="B26" i="82"/>
  <c r="T25" i="82"/>
  <c r="P25" i="82"/>
  <c r="X25" i="82" s="1"/>
  <c r="N25" i="82"/>
  <c r="H25" i="82"/>
  <c r="D25" i="82"/>
  <c r="L25" i="82" s="1"/>
  <c r="B25" i="82"/>
  <c r="Z24" i="82"/>
  <c r="X24" i="82"/>
  <c r="L24" i="82"/>
  <c r="N24" i="82" s="1"/>
  <c r="B24" i="82"/>
  <c r="T23" i="82"/>
  <c r="P23" i="82"/>
  <c r="X23" i="82" s="1"/>
  <c r="Z23" i="82" s="1"/>
  <c r="L23" i="82"/>
  <c r="J23" i="82"/>
  <c r="H23" i="82"/>
  <c r="D23" i="82"/>
  <c r="B23" i="82"/>
  <c r="Z22" i="82"/>
  <c r="X22" i="82"/>
  <c r="V22" i="82"/>
  <c r="N22" i="82"/>
  <c r="L22" i="82"/>
  <c r="B22" i="82"/>
  <c r="X21" i="82"/>
  <c r="V21" i="82"/>
  <c r="T21" i="82"/>
  <c r="P21" i="82"/>
  <c r="H21" i="82"/>
  <c r="F21" i="82"/>
  <c r="D21" i="82"/>
  <c r="B21" i="82"/>
  <c r="X20" i="82"/>
  <c r="Z20" i="82" s="1"/>
  <c r="N20" i="82"/>
  <c r="L20" i="82"/>
  <c r="J20" i="82"/>
  <c r="B20" i="82"/>
  <c r="T19" i="82"/>
  <c r="P19" i="82"/>
  <c r="H19" i="82"/>
  <c r="N19" i="82" s="1"/>
  <c r="D19" i="82"/>
  <c r="L19" i="82" s="1"/>
  <c r="B19" i="82"/>
  <c r="T18" i="82"/>
  <c r="X18" i="82" s="1"/>
  <c r="Z18" i="82" s="1"/>
  <c r="P18" i="82"/>
  <c r="N18" i="82"/>
  <c r="L18" i="82"/>
  <c r="J18" i="82"/>
  <c r="H18" i="82"/>
  <c r="D18" i="82"/>
  <c r="V16" i="82"/>
  <c r="T16" i="82"/>
  <c r="J16" i="82"/>
  <c r="F16" i="82"/>
  <c r="D16" i="82"/>
  <c r="T14" i="82"/>
  <c r="Z14" i="82" s="1"/>
  <c r="P14" i="82"/>
  <c r="N14" i="82"/>
  <c r="L14" i="82"/>
  <c r="J14" i="82"/>
  <c r="H14" i="82"/>
  <c r="D14" i="82"/>
  <c r="T12" i="82"/>
  <c r="P12" i="82"/>
  <c r="N12" i="82"/>
  <c r="H12" i="82"/>
  <c r="J34" i="82" s="1"/>
  <c r="D12" i="82"/>
  <c r="F36" i="82" s="1"/>
  <c r="D6" i="82"/>
  <c r="D4" i="82"/>
  <c r="Z68" i="81"/>
  <c r="X68" i="81"/>
  <c r="N68" i="81"/>
  <c r="L68" i="81"/>
  <c r="T64" i="81"/>
  <c r="Z64" i="81" s="1"/>
  <c r="P64" i="81"/>
  <c r="X64" i="81" s="1"/>
  <c r="L64" i="81"/>
  <c r="H64" i="81"/>
  <c r="N64" i="81" s="1"/>
  <c r="D64" i="81"/>
  <c r="B64" i="81"/>
  <c r="T63" i="81"/>
  <c r="P63" i="81"/>
  <c r="X63" i="81" s="1"/>
  <c r="Z63" i="81" s="1"/>
  <c r="L63" i="81"/>
  <c r="H63" i="81"/>
  <c r="N63" i="81" s="1"/>
  <c r="D63" i="81"/>
  <c r="B63" i="81"/>
  <c r="T62" i="81"/>
  <c r="H62" i="81"/>
  <c r="N62" i="81" s="1"/>
  <c r="D62" i="81"/>
  <c r="L62" i="81" s="1"/>
  <c r="Z60" i="81"/>
  <c r="X60" i="81"/>
  <c r="N60" i="81"/>
  <c r="L60" i="81"/>
  <c r="J60" i="81"/>
  <c r="B60" i="81"/>
  <c r="T59" i="81"/>
  <c r="Z59" i="81" s="1"/>
  <c r="P59" i="81"/>
  <c r="X59" i="81" s="1"/>
  <c r="N59" i="81"/>
  <c r="H59" i="81"/>
  <c r="D59" i="81"/>
  <c r="L59" i="81" s="1"/>
  <c r="B59" i="81"/>
  <c r="X58" i="81"/>
  <c r="Z58" i="81" s="1"/>
  <c r="N58" i="81"/>
  <c r="L58" i="81"/>
  <c r="B58" i="81"/>
  <c r="T57" i="81"/>
  <c r="P57" i="81"/>
  <c r="X57" i="81" s="1"/>
  <c r="Z57" i="81" s="1"/>
  <c r="L57" i="81"/>
  <c r="H57" i="81"/>
  <c r="N57" i="81" s="1"/>
  <c r="D57" i="81"/>
  <c r="B57" i="81"/>
  <c r="Z56" i="81"/>
  <c r="X56" i="81"/>
  <c r="V56" i="81"/>
  <c r="N56" i="81"/>
  <c r="L56" i="81"/>
  <c r="B56" i="81"/>
  <c r="X55" i="81"/>
  <c r="T55" i="81"/>
  <c r="P55" i="81"/>
  <c r="H55" i="81"/>
  <c r="D55" i="81"/>
  <c r="B55" i="81"/>
  <c r="X54" i="81"/>
  <c r="Z54" i="81" s="1"/>
  <c r="N54" i="81"/>
  <c r="L54" i="81"/>
  <c r="B54" i="81"/>
  <c r="T53" i="81"/>
  <c r="P53" i="81"/>
  <c r="H53" i="81"/>
  <c r="D53" i="81"/>
  <c r="L53" i="81" s="1"/>
  <c r="B53" i="81"/>
  <c r="Z52" i="81"/>
  <c r="X52" i="81"/>
  <c r="N52" i="81"/>
  <c r="L52" i="81"/>
  <c r="B52" i="81"/>
  <c r="Z51" i="81"/>
  <c r="X51" i="81"/>
  <c r="N51" i="81"/>
  <c r="L51" i="81"/>
  <c r="B51" i="81"/>
  <c r="Z50" i="81"/>
  <c r="T50" i="81"/>
  <c r="R50" i="81"/>
  <c r="P50" i="81"/>
  <c r="X50" i="81" s="1"/>
  <c r="N50" i="81"/>
  <c r="L50" i="81"/>
  <c r="H50" i="81"/>
  <c r="D50" i="81"/>
  <c r="B50" i="81"/>
  <c r="Z49" i="81"/>
  <c r="X49" i="81"/>
  <c r="N49" i="81"/>
  <c r="L49" i="81"/>
  <c r="B49" i="81"/>
  <c r="Z48" i="81"/>
  <c r="X48" i="81"/>
  <c r="N48" i="81"/>
  <c r="L48" i="81"/>
  <c r="F48" i="81"/>
  <c r="B48" i="81"/>
  <c r="Z47" i="81"/>
  <c r="X47" i="81"/>
  <c r="N47" i="81"/>
  <c r="L47" i="81"/>
  <c r="B47" i="81"/>
  <c r="T46" i="81"/>
  <c r="Z46" i="81" s="1"/>
  <c r="P46" i="81"/>
  <c r="X46" i="81" s="1"/>
  <c r="L46" i="81"/>
  <c r="N46" i="81" s="1"/>
  <c r="H46" i="81"/>
  <c r="D46" i="81"/>
  <c r="B46" i="81"/>
  <c r="Z45" i="81"/>
  <c r="X45" i="81"/>
  <c r="L45" i="81"/>
  <c r="N45" i="81" s="1"/>
  <c r="B45" i="81"/>
  <c r="T44" i="81"/>
  <c r="P44" i="81"/>
  <c r="X44" i="81" s="1"/>
  <c r="Z44" i="81" s="1"/>
  <c r="N44" i="81"/>
  <c r="L44" i="81"/>
  <c r="H44" i="81"/>
  <c r="D44" i="81"/>
  <c r="B44" i="81"/>
  <c r="Z43" i="81"/>
  <c r="X43" i="81"/>
  <c r="N43" i="81"/>
  <c r="L43" i="81"/>
  <c r="B43" i="81"/>
  <c r="Z42" i="81"/>
  <c r="X42" i="81"/>
  <c r="T42" i="81"/>
  <c r="P42" i="81"/>
  <c r="H42" i="81"/>
  <c r="N42" i="81" s="1"/>
  <c r="D42" i="81"/>
  <c r="B42" i="81"/>
  <c r="X41" i="81"/>
  <c r="Z41" i="81" s="1"/>
  <c r="R41" i="81"/>
  <c r="N41" i="81"/>
  <c r="L41" i="81"/>
  <c r="B41" i="81"/>
  <c r="T40" i="81"/>
  <c r="P40" i="81"/>
  <c r="X40" i="81" s="1"/>
  <c r="H40" i="81"/>
  <c r="N40" i="81" s="1"/>
  <c r="D40" i="81"/>
  <c r="L40" i="81" s="1"/>
  <c r="B40" i="81"/>
  <c r="Z39" i="81"/>
  <c r="X39" i="81"/>
  <c r="N39" i="81"/>
  <c r="L39" i="81"/>
  <c r="B39" i="81"/>
  <c r="T38" i="81"/>
  <c r="Z38" i="81" s="1"/>
  <c r="P38" i="81"/>
  <c r="X38" i="81" s="1"/>
  <c r="L38" i="81"/>
  <c r="H38" i="81"/>
  <c r="N38" i="81" s="1"/>
  <c r="D38" i="81"/>
  <c r="B38" i="81"/>
  <c r="Z37" i="81"/>
  <c r="X37" i="81"/>
  <c r="N37" i="81"/>
  <c r="L37" i="81"/>
  <c r="B37" i="81"/>
  <c r="X36" i="81"/>
  <c r="Z36" i="81" s="1"/>
  <c r="L36" i="81"/>
  <c r="N36" i="81" s="1"/>
  <c r="B36" i="81"/>
  <c r="T35" i="81"/>
  <c r="P35" i="81"/>
  <c r="X35" i="81" s="1"/>
  <c r="Z35" i="81" s="1"/>
  <c r="N35" i="81"/>
  <c r="L35" i="81"/>
  <c r="H35" i="81"/>
  <c r="D35" i="81"/>
  <c r="B35" i="81"/>
  <c r="X34" i="81"/>
  <c r="Z34" i="81" s="1"/>
  <c r="L34" i="81"/>
  <c r="N34" i="81" s="1"/>
  <c r="B34" i="81"/>
  <c r="Z33" i="81"/>
  <c r="T33" i="81"/>
  <c r="P33" i="81"/>
  <c r="X33" i="81" s="1"/>
  <c r="L33" i="81"/>
  <c r="H33" i="81"/>
  <c r="N33" i="81" s="1"/>
  <c r="D33" i="81"/>
  <c r="B33" i="81"/>
  <c r="Z32" i="81"/>
  <c r="X32" i="81"/>
  <c r="N32" i="81"/>
  <c r="L32" i="81"/>
  <c r="B32" i="81"/>
  <c r="Z31" i="81"/>
  <c r="X31" i="81"/>
  <c r="N31" i="81"/>
  <c r="L31" i="81"/>
  <c r="B31" i="81"/>
  <c r="Z30" i="81"/>
  <c r="X30" i="81"/>
  <c r="N30" i="81"/>
  <c r="L30" i="81"/>
  <c r="B30" i="81"/>
  <c r="Z29" i="81"/>
  <c r="X29" i="81"/>
  <c r="L29" i="81"/>
  <c r="N29" i="81" s="1"/>
  <c r="B29" i="81"/>
  <c r="T28" i="81"/>
  <c r="P28" i="81"/>
  <c r="X28" i="81" s="1"/>
  <c r="L28" i="81"/>
  <c r="N28" i="81" s="1"/>
  <c r="H28" i="81"/>
  <c r="D28" i="81"/>
  <c r="B28" i="81"/>
  <c r="X27" i="81"/>
  <c r="Z27" i="81" s="1"/>
  <c r="N27" i="81"/>
  <c r="L27" i="81"/>
  <c r="B27" i="81"/>
  <c r="X26" i="81"/>
  <c r="Z26" i="81" s="1"/>
  <c r="L26" i="81"/>
  <c r="N26" i="81" s="1"/>
  <c r="B26" i="81"/>
  <c r="Z25" i="81"/>
  <c r="X25" i="81"/>
  <c r="L25" i="81"/>
  <c r="N25" i="81" s="1"/>
  <c r="B25" i="81"/>
  <c r="Z24" i="81"/>
  <c r="X24" i="81"/>
  <c r="L24" i="81"/>
  <c r="N24" i="81" s="1"/>
  <c r="F24" i="81"/>
  <c r="B24" i="81"/>
  <c r="Z23" i="81"/>
  <c r="X23" i="81"/>
  <c r="L23" i="81"/>
  <c r="N23" i="81" s="1"/>
  <c r="B23" i="81"/>
  <c r="X22" i="81"/>
  <c r="Z22" i="81" s="1"/>
  <c r="R22" i="81"/>
  <c r="L22" i="81"/>
  <c r="N22" i="81" s="1"/>
  <c r="B22" i="81"/>
  <c r="X21" i="81"/>
  <c r="Z21" i="81" s="1"/>
  <c r="R21" i="81"/>
  <c r="L21" i="81"/>
  <c r="N21" i="81" s="1"/>
  <c r="B21" i="81"/>
  <c r="Z20" i="81"/>
  <c r="X20" i="81"/>
  <c r="V20" i="81"/>
  <c r="R20" i="81"/>
  <c r="N20" i="81"/>
  <c r="L20" i="81"/>
  <c r="B20" i="81"/>
  <c r="X19" i="81"/>
  <c r="T19" i="81"/>
  <c r="Z19" i="81" s="1"/>
  <c r="P19" i="81"/>
  <c r="H19" i="81"/>
  <c r="D19" i="81"/>
  <c r="B19" i="81"/>
  <c r="X18" i="81"/>
  <c r="V18" i="81"/>
  <c r="T18" i="81"/>
  <c r="Z18" i="81" s="1"/>
  <c r="R18" i="81"/>
  <c r="P18" i="81"/>
  <c r="H18" i="81"/>
  <c r="N18" i="81" s="1"/>
  <c r="F18" i="81"/>
  <c r="D18" i="81"/>
  <c r="L18" i="81" s="1"/>
  <c r="Z16" i="81"/>
  <c r="R16" i="81"/>
  <c r="P16" i="81"/>
  <c r="J16" i="81"/>
  <c r="X14" i="81"/>
  <c r="V14" i="81"/>
  <c r="T14" i="81"/>
  <c r="Z14" i="81" s="1"/>
  <c r="R14" i="81"/>
  <c r="P14" i="81"/>
  <c r="H14" i="81"/>
  <c r="N14" i="81" s="1"/>
  <c r="F14" i="81"/>
  <c r="D14" i="81"/>
  <c r="L14" i="81" s="1"/>
  <c r="Z12" i="81"/>
  <c r="T12" i="81"/>
  <c r="T16" i="81" s="1"/>
  <c r="T66" i="81" s="1"/>
  <c r="P12" i="81"/>
  <c r="R38" i="81" s="1"/>
  <c r="L12" i="81"/>
  <c r="H12" i="81"/>
  <c r="J48" i="81" s="1"/>
  <c r="D12" i="81"/>
  <c r="D6" i="81"/>
  <c r="D4" i="81"/>
  <c r="V36" i="80"/>
  <c r="F36" i="80"/>
  <c r="Z34" i="80"/>
  <c r="X34" i="80"/>
  <c r="N34" i="80"/>
  <c r="L34" i="80"/>
  <c r="J34" i="80"/>
  <c r="Z30" i="80"/>
  <c r="V30" i="80"/>
  <c r="T30" i="80"/>
  <c r="X30" i="80" s="1"/>
  <c r="P30" i="80"/>
  <c r="L30" i="80"/>
  <c r="H30" i="80"/>
  <c r="N30" i="80" s="1"/>
  <c r="F30" i="80"/>
  <c r="D30" i="80"/>
  <c r="Z28" i="80"/>
  <c r="X28" i="80"/>
  <c r="N28" i="80"/>
  <c r="L28" i="80"/>
  <c r="J28" i="80"/>
  <c r="B28" i="80"/>
  <c r="T27" i="80"/>
  <c r="Z27" i="80" s="1"/>
  <c r="P27" i="80"/>
  <c r="X27" i="80" s="1"/>
  <c r="H27" i="80"/>
  <c r="F27" i="80"/>
  <c r="D27" i="80"/>
  <c r="L27" i="80" s="1"/>
  <c r="N27" i="80" s="1"/>
  <c r="B27" i="80"/>
  <c r="Z26" i="80"/>
  <c r="X26" i="80"/>
  <c r="L26" i="80"/>
  <c r="N26" i="80" s="1"/>
  <c r="B26" i="80"/>
  <c r="T25" i="80"/>
  <c r="R25" i="80"/>
  <c r="P25" i="80"/>
  <c r="X25" i="80" s="1"/>
  <c r="Z25" i="80" s="1"/>
  <c r="L25" i="80"/>
  <c r="H25" i="80"/>
  <c r="N25" i="80" s="1"/>
  <c r="D25" i="80"/>
  <c r="B25" i="80"/>
  <c r="Z24" i="80"/>
  <c r="X24" i="80"/>
  <c r="V24" i="80"/>
  <c r="N24" i="80"/>
  <c r="L24" i="80"/>
  <c r="F24" i="80"/>
  <c r="B24" i="80"/>
  <c r="X23" i="80"/>
  <c r="T23" i="80"/>
  <c r="P23" i="80"/>
  <c r="H23" i="80"/>
  <c r="D23" i="80"/>
  <c r="B23" i="80"/>
  <c r="X22" i="80"/>
  <c r="Z22" i="80" s="1"/>
  <c r="N22" i="80"/>
  <c r="L22" i="80"/>
  <c r="B22" i="80"/>
  <c r="T21" i="80"/>
  <c r="P21" i="80"/>
  <c r="J21" i="80"/>
  <c r="H21" i="80"/>
  <c r="D21" i="80"/>
  <c r="L21" i="80" s="1"/>
  <c r="B21" i="80"/>
  <c r="Z20" i="80"/>
  <c r="X20" i="80"/>
  <c r="R20" i="80"/>
  <c r="N20" i="80"/>
  <c r="L20" i="80"/>
  <c r="J20" i="80"/>
  <c r="F20" i="80"/>
  <c r="B20" i="80"/>
  <c r="T19" i="80"/>
  <c r="Z19" i="80" s="1"/>
  <c r="P19" i="80"/>
  <c r="X19" i="80" s="1"/>
  <c r="N19" i="80"/>
  <c r="H19" i="80"/>
  <c r="F19" i="80"/>
  <c r="D19" i="80"/>
  <c r="L19" i="80" s="1"/>
  <c r="B19" i="80"/>
  <c r="T18" i="80"/>
  <c r="P18" i="80"/>
  <c r="X18" i="80" s="1"/>
  <c r="Z18" i="80" s="1"/>
  <c r="J18" i="80"/>
  <c r="H18" i="80"/>
  <c r="L18" i="80" s="1"/>
  <c r="N18" i="80" s="1"/>
  <c r="F18" i="80"/>
  <c r="D18" i="80"/>
  <c r="R16" i="80"/>
  <c r="H16" i="80"/>
  <c r="N16" i="80" s="1"/>
  <c r="F16" i="80"/>
  <c r="D16" i="80"/>
  <c r="L16" i="80" s="1"/>
  <c r="Z14" i="80"/>
  <c r="T14" i="80"/>
  <c r="P14" i="80"/>
  <c r="P16" i="80" s="1"/>
  <c r="N14" i="80"/>
  <c r="J14" i="80"/>
  <c r="H14" i="80"/>
  <c r="L14" i="80" s="1"/>
  <c r="F14" i="80"/>
  <c r="D14" i="80"/>
  <c r="X12" i="80"/>
  <c r="T12" i="80"/>
  <c r="V23" i="80" s="1"/>
  <c r="P12" i="80"/>
  <c r="R24" i="80" s="1"/>
  <c r="N12" i="80"/>
  <c r="L12" i="80"/>
  <c r="H12" i="80"/>
  <c r="J25" i="80" s="1"/>
  <c r="D12" i="80"/>
  <c r="F34" i="80" s="1"/>
  <c r="D6" i="80"/>
  <c r="D4" i="80"/>
  <c r="Z66" i="79"/>
  <c r="X66" i="79"/>
  <c r="N66" i="79"/>
  <c r="L66" i="79"/>
  <c r="T62" i="79"/>
  <c r="Z62" i="79" s="1"/>
  <c r="P62" i="79"/>
  <c r="X62" i="79" s="1"/>
  <c r="N62" i="79"/>
  <c r="H62" i="79"/>
  <c r="D62" i="79"/>
  <c r="L62" i="79" s="1"/>
  <c r="Z60" i="79"/>
  <c r="X60" i="79"/>
  <c r="N60" i="79"/>
  <c r="L60" i="79"/>
  <c r="B60" i="79"/>
  <c r="X59" i="79"/>
  <c r="T59" i="79"/>
  <c r="Z59" i="79" s="1"/>
  <c r="P59" i="79"/>
  <c r="H59" i="79"/>
  <c r="D59" i="79"/>
  <c r="B59" i="79"/>
  <c r="X58" i="79"/>
  <c r="Z58" i="79" s="1"/>
  <c r="N58" i="79"/>
  <c r="L58" i="79"/>
  <c r="B58" i="79"/>
  <c r="T57" i="79"/>
  <c r="P57" i="79"/>
  <c r="H57" i="79"/>
  <c r="D57" i="79"/>
  <c r="L57" i="79" s="1"/>
  <c r="B57" i="79"/>
  <c r="Z56" i="79"/>
  <c r="X56" i="79"/>
  <c r="N56" i="79"/>
  <c r="L56" i="79"/>
  <c r="B56" i="79"/>
  <c r="Z55" i="79"/>
  <c r="X55" i="79"/>
  <c r="N55" i="79"/>
  <c r="L55" i="79"/>
  <c r="B55" i="79"/>
  <c r="Z54" i="79"/>
  <c r="X54" i="79"/>
  <c r="N54" i="79"/>
  <c r="L54" i="79"/>
  <c r="B54" i="79"/>
  <c r="T53" i="79"/>
  <c r="Z53" i="79" s="1"/>
  <c r="P53" i="79"/>
  <c r="X53" i="79" s="1"/>
  <c r="H53" i="79"/>
  <c r="N53" i="79" s="1"/>
  <c r="D53" i="79"/>
  <c r="L53" i="79" s="1"/>
  <c r="B53" i="79"/>
  <c r="Z52" i="79"/>
  <c r="X52" i="79"/>
  <c r="N52" i="79"/>
  <c r="L52" i="79"/>
  <c r="J52" i="79"/>
  <c r="B52" i="79"/>
  <c r="X51" i="79"/>
  <c r="Z51" i="79" s="1"/>
  <c r="L51" i="79"/>
  <c r="N51" i="79" s="1"/>
  <c r="B51" i="79"/>
  <c r="X50" i="79"/>
  <c r="Z50" i="79" s="1"/>
  <c r="T50" i="79"/>
  <c r="P50" i="79"/>
  <c r="H50" i="79"/>
  <c r="D50" i="79"/>
  <c r="L50" i="79" s="1"/>
  <c r="B50" i="79"/>
  <c r="Z49" i="79"/>
  <c r="X49" i="79"/>
  <c r="N49" i="79"/>
  <c r="L49" i="79"/>
  <c r="B49" i="79"/>
  <c r="T48" i="79"/>
  <c r="Z48" i="79" s="1"/>
  <c r="P48" i="79"/>
  <c r="X48" i="79" s="1"/>
  <c r="N48" i="79"/>
  <c r="H48" i="79"/>
  <c r="D48" i="79"/>
  <c r="L48" i="79" s="1"/>
  <c r="B48" i="79"/>
  <c r="Z47" i="79"/>
  <c r="X47" i="79"/>
  <c r="N47" i="79"/>
  <c r="L47" i="79"/>
  <c r="B47" i="79"/>
  <c r="Z46" i="79"/>
  <c r="T46" i="79"/>
  <c r="P46" i="79"/>
  <c r="X46" i="79" s="1"/>
  <c r="J46" i="79"/>
  <c r="H46" i="79"/>
  <c r="D46" i="79"/>
  <c r="B46" i="79"/>
  <c r="Z45" i="79"/>
  <c r="X45" i="79"/>
  <c r="N45" i="79"/>
  <c r="L45" i="79"/>
  <c r="B45" i="79"/>
  <c r="Z44" i="79"/>
  <c r="X44" i="79"/>
  <c r="N44" i="79"/>
  <c r="L44" i="79"/>
  <c r="B44" i="79"/>
  <c r="X43" i="79"/>
  <c r="T43" i="79"/>
  <c r="P43" i="79"/>
  <c r="H43" i="79"/>
  <c r="D43" i="79"/>
  <c r="B43" i="79"/>
  <c r="Z42" i="79"/>
  <c r="X42" i="79"/>
  <c r="N42" i="79"/>
  <c r="L42" i="79"/>
  <c r="B42" i="79"/>
  <c r="T41" i="79"/>
  <c r="Z41" i="79" s="1"/>
  <c r="P41" i="79"/>
  <c r="H41" i="79"/>
  <c r="N41" i="79" s="1"/>
  <c r="D41" i="79"/>
  <c r="L41" i="79" s="1"/>
  <c r="B41" i="79"/>
  <c r="Z40" i="79"/>
  <c r="X40" i="79"/>
  <c r="N40" i="79"/>
  <c r="L40" i="79"/>
  <c r="B40" i="79"/>
  <c r="T39" i="79"/>
  <c r="Z39" i="79" s="1"/>
  <c r="P39" i="79"/>
  <c r="X39" i="79" s="1"/>
  <c r="N39" i="79"/>
  <c r="L39" i="79"/>
  <c r="H39" i="79"/>
  <c r="D39" i="79"/>
  <c r="B39" i="79"/>
  <c r="Z38" i="79"/>
  <c r="X38" i="79"/>
  <c r="N38" i="79"/>
  <c r="L38" i="79"/>
  <c r="B38" i="79"/>
  <c r="Z37" i="79"/>
  <c r="X37" i="79"/>
  <c r="T37" i="79"/>
  <c r="P37" i="79"/>
  <c r="L37" i="79"/>
  <c r="H37" i="79"/>
  <c r="N37" i="79" s="1"/>
  <c r="D37" i="79"/>
  <c r="B37" i="79"/>
  <c r="Z36" i="79"/>
  <c r="X36" i="79"/>
  <c r="N36" i="79"/>
  <c r="L36" i="79"/>
  <c r="B36" i="79"/>
  <c r="Z35" i="79"/>
  <c r="X35" i="79"/>
  <c r="N35" i="79"/>
  <c r="L35" i="79"/>
  <c r="B35" i="79"/>
  <c r="Z34" i="79"/>
  <c r="X34" i="79"/>
  <c r="N34" i="79"/>
  <c r="L34" i="79"/>
  <c r="B34" i="79"/>
  <c r="Z33" i="79"/>
  <c r="X33" i="79"/>
  <c r="N33" i="79"/>
  <c r="L33" i="79"/>
  <c r="F33" i="79"/>
  <c r="B33" i="79"/>
  <c r="T32" i="79"/>
  <c r="Z32" i="79" s="1"/>
  <c r="P32" i="79"/>
  <c r="X32" i="79" s="1"/>
  <c r="N32" i="79"/>
  <c r="H32" i="79"/>
  <c r="D32" i="79"/>
  <c r="L32" i="79" s="1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N24" i="79"/>
  <c r="L24" i="79"/>
  <c r="B24" i="79"/>
  <c r="X23" i="79"/>
  <c r="T23" i="79"/>
  <c r="Z23" i="79" s="1"/>
  <c r="P23" i="79"/>
  <c r="H23" i="79"/>
  <c r="N23" i="79" s="1"/>
  <c r="D23" i="79"/>
  <c r="B23" i="79"/>
  <c r="X22" i="79"/>
  <c r="T22" i="79"/>
  <c r="Z22" i="79" s="1"/>
  <c r="P22" i="79"/>
  <c r="H22" i="79"/>
  <c r="D22" i="79"/>
  <c r="L22" i="79" s="1"/>
  <c r="Z18" i="79"/>
  <c r="X18" i="79"/>
  <c r="N18" i="79"/>
  <c r="L18" i="79"/>
  <c r="B18" i="79"/>
  <c r="Z17" i="79"/>
  <c r="X17" i="79"/>
  <c r="N17" i="79"/>
  <c r="L17" i="79"/>
  <c r="B17" i="79"/>
  <c r="T16" i="79"/>
  <c r="Z16" i="79" s="1"/>
  <c r="P16" i="79"/>
  <c r="L16" i="79"/>
  <c r="H16" i="79"/>
  <c r="N16" i="79" s="1"/>
  <c r="D16" i="79"/>
  <c r="T14" i="79"/>
  <c r="Z14" i="79" s="1"/>
  <c r="P14" i="79"/>
  <c r="X14" i="79" s="1"/>
  <c r="H14" i="79"/>
  <c r="N14" i="79" s="1"/>
  <c r="D14" i="79"/>
  <c r="D12" i="79" s="1"/>
  <c r="B14" i="79"/>
  <c r="T13" i="79"/>
  <c r="Z13" i="79" s="1"/>
  <c r="P13" i="79"/>
  <c r="L13" i="79"/>
  <c r="H13" i="79"/>
  <c r="H12" i="79" s="1"/>
  <c r="J56" i="79" s="1"/>
  <c r="D13" i="79"/>
  <c r="B13" i="79"/>
  <c r="N12" i="79"/>
  <c r="D6" i="79"/>
  <c r="D4" i="79"/>
  <c r="X27" i="78"/>
  <c r="Z27" i="78" s="1"/>
  <c r="V27" i="78"/>
  <c r="L27" i="78"/>
  <c r="N27" i="78" s="1"/>
  <c r="F27" i="78"/>
  <c r="F25" i="78"/>
  <c r="T23" i="78"/>
  <c r="Z23" i="78" s="1"/>
  <c r="P23" i="78"/>
  <c r="X23" i="78" s="1"/>
  <c r="N23" i="78"/>
  <c r="H23" i="78"/>
  <c r="D23" i="78"/>
  <c r="L23" i="78" s="1"/>
  <c r="V21" i="78"/>
  <c r="T21" i="78"/>
  <c r="Z21" i="78" s="1"/>
  <c r="P21" i="78"/>
  <c r="L21" i="78"/>
  <c r="H21" i="78"/>
  <c r="N21" i="78" s="1"/>
  <c r="F21" i="78"/>
  <c r="D21" i="78"/>
  <c r="T19" i="78"/>
  <c r="T25" i="78" s="1"/>
  <c r="D19" i="78"/>
  <c r="D25" i="78" s="1"/>
  <c r="X17" i="78"/>
  <c r="Z17" i="78" s="1"/>
  <c r="V17" i="78"/>
  <c r="L17" i="78"/>
  <c r="N17" i="78" s="1"/>
  <c r="F17" i="78"/>
  <c r="B17" i="78"/>
  <c r="Z16" i="78"/>
  <c r="X16" i="78"/>
  <c r="N16" i="78"/>
  <c r="L16" i="78"/>
  <c r="J16" i="78"/>
  <c r="B16" i="78"/>
  <c r="T15" i="78"/>
  <c r="P15" i="78"/>
  <c r="X15" i="78" s="1"/>
  <c r="Z15" i="78" s="1"/>
  <c r="J15" i="78"/>
  <c r="H15" i="78"/>
  <c r="D15" i="78"/>
  <c r="X13" i="78"/>
  <c r="T13" i="78"/>
  <c r="Z13" i="78" s="1"/>
  <c r="P13" i="78"/>
  <c r="N13" i="78"/>
  <c r="L13" i="78"/>
  <c r="H13" i="78"/>
  <c r="D13" i="78"/>
  <c r="B13" i="78"/>
  <c r="T12" i="78"/>
  <c r="V16" i="78" s="1"/>
  <c r="P12" i="78"/>
  <c r="H12" i="78"/>
  <c r="D12" i="78"/>
  <c r="F15" i="78" s="1"/>
  <c r="D6" i="78"/>
  <c r="D4" i="78"/>
  <c r="X91" i="77"/>
  <c r="Z91" i="77" s="1"/>
  <c r="L91" i="77"/>
  <c r="N91" i="77" s="1"/>
  <c r="T87" i="77"/>
  <c r="Z87" i="77" s="1"/>
  <c r="P87" i="77"/>
  <c r="X87" i="77" s="1"/>
  <c r="N87" i="77"/>
  <c r="H87" i="77"/>
  <c r="D87" i="77"/>
  <c r="L87" i="77" s="1"/>
  <c r="X85" i="77"/>
  <c r="Z85" i="77" s="1"/>
  <c r="L85" i="77"/>
  <c r="N85" i="77" s="1"/>
  <c r="B85" i="77"/>
  <c r="Z84" i="77"/>
  <c r="T84" i="77"/>
  <c r="P84" i="77"/>
  <c r="X84" i="77" s="1"/>
  <c r="H84" i="77"/>
  <c r="N84" i="77" s="1"/>
  <c r="D84" i="77"/>
  <c r="L84" i="77" s="1"/>
  <c r="B84" i="77"/>
  <c r="Z83" i="77"/>
  <c r="X83" i="77"/>
  <c r="N83" i="77"/>
  <c r="L83" i="77"/>
  <c r="B83" i="77"/>
  <c r="T82" i="77"/>
  <c r="P82" i="77"/>
  <c r="X82" i="77" s="1"/>
  <c r="L82" i="77"/>
  <c r="H82" i="77"/>
  <c r="N82" i="77" s="1"/>
  <c r="D82" i="77"/>
  <c r="B82" i="77"/>
  <c r="Z81" i="77"/>
  <c r="X81" i="77"/>
  <c r="L81" i="77"/>
  <c r="N81" i="77" s="1"/>
  <c r="B81" i="77"/>
  <c r="X80" i="77"/>
  <c r="T80" i="77"/>
  <c r="Z80" i="77" s="1"/>
  <c r="P80" i="77"/>
  <c r="H80" i="77"/>
  <c r="D80" i="77"/>
  <c r="B80" i="77"/>
  <c r="Z79" i="77"/>
  <c r="X79" i="77"/>
  <c r="N79" i="77"/>
  <c r="L79" i="77"/>
  <c r="B79" i="77"/>
  <c r="X78" i="77"/>
  <c r="Z78" i="77" s="1"/>
  <c r="L78" i="77"/>
  <c r="N78" i="77" s="1"/>
  <c r="B78" i="77"/>
  <c r="Z77" i="77"/>
  <c r="X77" i="77"/>
  <c r="N77" i="77"/>
  <c r="L77" i="77"/>
  <c r="B77" i="77"/>
  <c r="T76" i="77"/>
  <c r="Z76" i="77" s="1"/>
  <c r="P76" i="77"/>
  <c r="X76" i="77" s="1"/>
  <c r="H76" i="77"/>
  <c r="D76" i="77"/>
  <c r="B76" i="77"/>
  <c r="Z75" i="77"/>
  <c r="X75" i="77"/>
  <c r="N75" i="77"/>
  <c r="L75" i="77"/>
  <c r="B75" i="77"/>
  <c r="T74" i="77"/>
  <c r="P74" i="77"/>
  <c r="N74" i="77"/>
  <c r="L74" i="77"/>
  <c r="H74" i="77"/>
  <c r="D74" i="77"/>
  <c r="B74" i="77"/>
  <c r="X73" i="77"/>
  <c r="Z73" i="77" s="1"/>
  <c r="N73" i="77"/>
  <c r="L73" i="77"/>
  <c r="B73" i="77"/>
  <c r="Z72" i="77"/>
  <c r="X72" i="77"/>
  <c r="L72" i="77"/>
  <c r="N72" i="77" s="1"/>
  <c r="B72" i="77"/>
  <c r="T71" i="77"/>
  <c r="P71" i="77"/>
  <c r="X71" i="77" s="1"/>
  <c r="Z71" i="77" s="1"/>
  <c r="L71" i="77"/>
  <c r="N71" i="77" s="1"/>
  <c r="H71" i="77"/>
  <c r="D71" i="77"/>
  <c r="B71" i="77"/>
  <c r="Z70" i="77"/>
  <c r="X70" i="77"/>
  <c r="N70" i="77"/>
  <c r="L70" i="77"/>
  <c r="B70" i="77"/>
  <c r="Z69" i="77"/>
  <c r="X69" i="77"/>
  <c r="T69" i="77"/>
  <c r="P69" i="77"/>
  <c r="L69" i="77"/>
  <c r="H69" i="77"/>
  <c r="N69" i="77" s="1"/>
  <c r="D69" i="77"/>
  <c r="B69" i="77"/>
  <c r="X68" i="77"/>
  <c r="Z68" i="77" s="1"/>
  <c r="N68" i="77"/>
  <c r="L68" i="77"/>
  <c r="B68" i="77"/>
  <c r="X67" i="77"/>
  <c r="T67" i="77"/>
  <c r="P67" i="77"/>
  <c r="H67" i="77"/>
  <c r="D67" i="77"/>
  <c r="B67" i="77"/>
  <c r="X66" i="77"/>
  <c r="Z66" i="77" s="1"/>
  <c r="N66" i="77"/>
  <c r="L66" i="77"/>
  <c r="B66" i="77"/>
  <c r="T65" i="77"/>
  <c r="P65" i="77"/>
  <c r="H65" i="77"/>
  <c r="D65" i="77"/>
  <c r="L65" i="77" s="1"/>
  <c r="N65" i="77" s="1"/>
  <c r="B65" i="77"/>
  <c r="Z64" i="77"/>
  <c r="X64" i="77"/>
  <c r="L64" i="77"/>
  <c r="N64" i="77" s="1"/>
  <c r="B64" i="77"/>
  <c r="T63" i="77"/>
  <c r="P63" i="77"/>
  <c r="X63" i="77" s="1"/>
  <c r="Z63" i="77" s="1"/>
  <c r="L63" i="77"/>
  <c r="H63" i="77"/>
  <c r="D63" i="77"/>
  <c r="B63" i="77"/>
  <c r="Z62" i="77"/>
  <c r="X62" i="77"/>
  <c r="N62" i="77"/>
  <c r="L62" i="77"/>
  <c r="B62" i="77"/>
  <c r="X61" i="77"/>
  <c r="T61" i="77"/>
  <c r="Z61" i="77" s="1"/>
  <c r="P61" i="77"/>
  <c r="H61" i="77"/>
  <c r="N61" i="77" s="1"/>
  <c r="D61" i="77"/>
  <c r="B61" i="77"/>
  <c r="X60" i="77"/>
  <c r="Z60" i="77" s="1"/>
  <c r="N60" i="77"/>
  <c r="L60" i="77"/>
  <c r="B60" i="77"/>
  <c r="X59" i="77"/>
  <c r="T59" i="77"/>
  <c r="P59" i="77"/>
  <c r="H59" i="77"/>
  <c r="D59" i="77"/>
  <c r="B59" i="77"/>
  <c r="Z58" i="77"/>
  <c r="X58" i="77"/>
  <c r="N58" i="77"/>
  <c r="L58" i="77"/>
  <c r="B58" i="77"/>
  <c r="T57" i="77"/>
  <c r="P57" i="77"/>
  <c r="X57" i="77" s="1"/>
  <c r="H57" i="77"/>
  <c r="D57" i="77"/>
  <c r="L57" i="77" s="1"/>
  <c r="N57" i="77" s="1"/>
  <c r="B57" i="77"/>
  <c r="Z56" i="77"/>
  <c r="X56" i="77"/>
  <c r="N56" i="77"/>
  <c r="L56" i="77"/>
  <c r="B56" i="77"/>
  <c r="Z55" i="77"/>
  <c r="T55" i="77"/>
  <c r="P55" i="77"/>
  <c r="X55" i="77" s="1"/>
  <c r="L55" i="77"/>
  <c r="H55" i="77"/>
  <c r="N55" i="77" s="1"/>
  <c r="D55" i="77"/>
  <c r="B55" i="77"/>
  <c r="Z54" i="77"/>
  <c r="X54" i="77"/>
  <c r="N54" i="77"/>
  <c r="L54" i="77"/>
  <c r="B54" i="77"/>
  <c r="X53" i="77"/>
  <c r="Z53" i="77" s="1"/>
  <c r="L53" i="77"/>
  <c r="N53" i="77" s="1"/>
  <c r="F53" i="77"/>
  <c r="B53" i="77"/>
  <c r="Z52" i="77"/>
  <c r="X52" i="77"/>
  <c r="L52" i="77"/>
  <c r="N52" i="77" s="1"/>
  <c r="B52" i="77"/>
  <c r="Z51" i="77"/>
  <c r="X51" i="77"/>
  <c r="L51" i="77"/>
  <c r="N51" i="77" s="1"/>
  <c r="B51" i="77"/>
  <c r="Z50" i="77"/>
  <c r="X50" i="77"/>
  <c r="N50" i="77"/>
  <c r="L50" i="77"/>
  <c r="B50" i="77"/>
  <c r="T49" i="77"/>
  <c r="P49" i="77"/>
  <c r="H49" i="77"/>
  <c r="D49" i="77"/>
  <c r="L49" i="77" s="1"/>
  <c r="N49" i="77" s="1"/>
  <c r="B49" i="77"/>
  <c r="Z48" i="77"/>
  <c r="X48" i="77"/>
  <c r="L48" i="77"/>
  <c r="N48" i="77" s="1"/>
  <c r="B48" i="77"/>
  <c r="Z47" i="77"/>
  <c r="X47" i="77"/>
  <c r="L47" i="77"/>
  <c r="N47" i="77" s="1"/>
  <c r="F47" i="77"/>
  <c r="B47" i="77"/>
  <c r="Z46" i="77"/>
  <c r="X46" i="77"/>
  <c r="N46" i="77"/>
  <c r="L46" i="77"/>
  <c r="B46" i="77"/>
  <c r="X45" i="77"/>
  <c r="Z45" i="77" s="1"/>
  <c r="L45" i="77"/>
  <c r="N45" i="77" s="1"/>
  <c r="B45" i="77"/>
  <c r="X44" i="77"/>
  <c r="Z44" i="77" s="1"/>
  <c r="N44" i="77"/>
  <c r="L44" i="77"/>
  <c r="B44" i="77"/>
  <c r="X43" i="77"/>
  <c r="Z43" i="77" s="1"/>
  <c r="N43" i="77"/>
  <c r="L43" i="77"/>
  <c r="B43" i="77"/>
  <c r="Z42" i="77"/>
  <c r="X42" i="77"/>
  <c r="V42" i="77"/>
  <c r="N42" i="77"/>
  <c r="L42" i="77"/>
  <c r="B42" i="77"/>
  <c r="X41" i="77"/>
  <c r="Z41" i="77" s="1"/>
  <c r="L41" i="77"/>
  <c r="N41" i="77" s="1"/>
  <c r="B41" i="77"/>
  <c r="Z40" i="77"/>
  <c r="X40" i="77"/>
  <c r="T40" i="77"/>
  <c r="P40" i="77"/>
  <c r="H40" i="77"/>
  <c r="L40" i="77" s="1"/>
  <c r="N40" i="77" s="1"/>
  <c r="D40" i="77"/>
  <c r="B40" i="77"/>
  <c r="X39" i="77"/>
  <c r="T39" i="77"/>
  <c r="P39" i="77"/>
  <c r="H39" i="77"/>
  <c r="D39" i="77"/>
  <c r="L39" i="77" s="1"/>
  <c r="X35" i="77"/>
  <c r="Z35" i="77" s="1"/>
  <c r="L35" i="77"/>
  <c r="N35" i="77" s="1"/>
  <c r="B35" i="77"/>
  <c r="Z34" i="77"/>
  <c r="X34" i="77"/>
  <c r="N34" i="77"/>
  <c r="L34" i="77"/>
  <c r="B34" i="77"/>
  <c r="X33" i="77"/>
  <c r="T33" i="77"/>
  <c r="Z33" i="77" s="1"/>
  <c r="P33" i="77"/>
  <c r="L33" i="77"/>
  <c r="H33" i="77"/>
  <c r="D33" i="77"/>
  <c r="T31" i="77"/>
  <c r="Z31" i="77" s="1"/>
  <c r="P31" i="77"/>
  <c r="X31" i="77" s="1"/>
  <c r="L31" i="77"/>
  <c r="H31" i="77"/>
  <c r="N31" i="77" s="1"/>
  <c r="D31" i="77"/>
  <c r="B31" i="77"/>
  <c r="T30" i="77"/>
  <c r="P30" i="77"/>
  <c r="N30" i="77"/>
  <c r="H30" i="77"/>
  <c r="L30" i="77" s="1"/>
  <c r="D30" i="77"/>
  <c r="B30" i="77"/>
  <c r="X29" i="77"/>
  <c r="Z29" i="77" s="1"/>
  <c r="T29" i="77"/>
  <c r="P29" i="77"/>
  <c r="L29" i="77"/>
  <c r="N29" i="77" s="1"/>
  <c r="H29" i="77"/>
  <c r="D29" i="77"/>
  <c r="B29" i="77"/>
  <c r="Z28" i="77"/>
  <c r="T28" i="77"/>
  <c r="P28" i="77"/>
  <c r="X28" i="77" s="1"/>
  <c r="H28" i="77"/>
  <c r="D28" i="77"/>
  <c r="L28" i="77" s="1"/>
  <c r="N28" i="77" s="1"/>
  <c r="B28" i="77"/>
  <c r="X27" i="77"/>
  <c r="T27" i="77"/>
  <c r="P27" i="77"/>
  <c r="H27" i="77"/>
  <c r="N27" i="77" s="1"/>
  <c r="D27" i="77"/>
  <c r="L27" i="77" s="1"/>
  <c r="B27" i="77"/>
  <c r="Z26" i="77"/>
  <c r="T26" i="77"/>
  <c r="X26" i="77" s="1"/>
  <c r="P26" i="77"/>
  <c r="H26" i="77"/>
  <c r="D26" i="77"/>
  <c r="B26" i="77"/>
  <c r="X25" i="77"/>
  <c r="Z25" i="77" s="1"/>
  <c r="T25" i="77"/>
  <c r="P25" i="77"/>
  <c r="N25" i="77"/>
  <c r="L25" i="77"/>
  <c r="H25" i="77"/>
  <c r="D25" i="77"/>
  <c r="B25" i="77"/>
  <c r="T24" i="77"/>
  <c r="P24" i="77"/>
  <c r="X24" i="77" s="1"/>
  <c r="Z24" i="77" s="1"/>
  <c r="H24" i="77"/>
  <c r="D24" i="77"/>
  <c r="B24" i="77"/>
  <c r="T23" i="77"/>
  <c r="Z23" i="77" s="1"/>
  <c r="P23" i="77"/>
  <c r="X23" i="77" s="1"/>
  <c r="L23" i="77"/>
  <c r="H23" i="77"/>
  <c r="N23" i="77" s="1"/>
  <c r="D23" i="77"/>
  <c r="B23" i="77"/>
  <c r="T22" i="77"/>
  <c r="P22" i="77"/>
  <c r="N22" i="77"/>
  <c r="H22" i="77"/>
  <c r="L22" i="77" s="1"/>
  <c r="D22" i="77"/>
  <c r="B22" i="77"/>
  <c r="Z21" i="77"/>
  <c r="X21" i="77"/>
  <c r="T21" i="77"/>
  <c r="P21" i="77"/>
  <c r="N21" i="77"/>
  <c r="L21" i="77"/>
  <c r="H21" i="77"/>
  <c r="D21" i="77"/>
  <c r="B21" i="77"/>
  <c r="T20" i="77"/>
  <c r="T12" i="77" s="1"/>
  <c r="P20" i="77"/>
  <c r="H20" i="77"/>
  <c r="D20" i="77"/>
  <c r="L20" i="77" s="1"/>
  <c r="N20" i="77" s="1"/>
  <c r="B20" i="77"/>
  <c r="X19" i="77"/>
  <c r="T19" i="77"/>
  <c r="P19" i="77"/>
  <c r="H19" i="77"/>
  <c r="N19" i="77" s="1"/>
  <c r="D19" i="77"/>
  <c r="L19" i="77" s="1"/>
  <c r="B19" i="77"/>
  <c r="T18" i="77"/>
  <c r="X18" i="77" s="1"/>
  <c r="Z18" i="77" s="1"/>
  <c r="P18" i="77"/>
  <c r="H18" i="77"/>
  <c r="D18" i="77"/>
  <c r="B18" i="77"/>
  <c r="X17" i="77"/>
  <c r="Z17" i="77" s="1"/>
  <c r="T17" i="77"/>
  <c r="P17" i="77"/>
  <c r="L17" i="77"/>
  <c r="N17" i="77" s="1"/>
  <c r="H17" i="77"/>
  <c r="D17" i="77"/>
  <c r="B17" i="77"/>
  <c r="T16" i="77"/>
  <c r="P16" i="77"/>
  <c r="X16" i="77" s="1"/>
  <c r="Z16" i="77" s="1"/>
  <c r="N16" i="77"/>
  <c r="H16" i="77"/>
  <c r="D16" i="77"/>
  <c r="L16" i="77" s="1"/>
  <c r="B16" i="77"/>
  <c r="T15" i="77"/>
  <c r="P15" i="77"/>
  <c r="X15" i="77" s="1"/>
  <c r="L15" i="77"/>
  <c r="H15" i="77"/>
  <c r="D15" i="77"/>
  <c r="D12" i="77" s="1"/>
  <c r="F79" i="77" s="1"/>
  <c r="B15" i="77"/>
  <c r="T14" i="77"/>
  <c r="P14" i="77"/>
  <c r="N14" i="77"/>
  <c r="H14" i="77"/>
  <c r="L14" i="77" s="1"/>
  <c r="D14" i="77"/>
  <c r="B14" i="77"/>
  <c r="X13" i="77"/>
  <c r="Z13" i="77" s="1"/>
  <c r="T13" i="77"/>
  <c r="P13" i="77"/>
  <c r="L13" i="77"/>
  <c r="N13" i="77" s="1"/>
  <c r="H13" i="77"/>
  <c r="D13" i="77"/>
  <c r="B13" i="77"/>
  <c r="D6" i="77"/>
  <c r="D4" i="77"/>
  <c r="Z70" i="76"/>
  <c r="X70" i="76"/>
  <c r="N70" i="76"/>
  <c r="L70" i="76"/>
  <c r="Z66" i="76"/>
  <c r="T66" i="76"/>
  <c r="P66" i="76"/>
  <c r="X66" i="76" s="1"/>
  <c r="N66" i="76"/>
  <c r="H66" i="76"/>
  <c r="L66" i="76" s="1"/>
  <c r="D66" i="76"/>
  <c r="Z64" i="76"/>
  <c r="X64" i="76"/>
  <c r="N64" i="76"/>
  <c r="L64" i="76"/>
  <c r="B64" i="76"/>
  <c r="Z63" i="76"/>
  <c r="X63" i="76"/>
  <c r="T63" i="76"/>
  <c r="P63" i="76"/>
  <c r="H63" i="76"/>
  <c r="N63" i="76" s="1"/>
  <c r="D63" i="76"/>
  <c r="B63" i="76"/>
  <c r="Z62" i="76"/>
  <c r="X62" i="76"/>
  <c r="N62" i="76"/>
  <c r="L62" i="76"/>
  <c r="B62" i="76"/>
  <c r="T61" i="76"/>
  <c r="P61" i="76"/>
  <c r="L61" i="76"/>
  <c r="H61" i="76"/>
  <c r="D61" i="76"/>
  <c r="B61" i="76"/>
  <c r="Z60" i="76"/>
  <c r="X60" i="76"/>
  <c r="N60" i="76"/>
  <c r="L60" i="76"/>
  <c r="B60" i="76"/>
  <c r="Z59" i="76"/>
  <c r="X59" i="76"/>
  <c r="N59" i="76"/>
  <c r="L59" i="76"/>
  <c r="B59" i="76"/>
  <c r="Z58" i="76"/>
  <c r="X58" i="76"/>
  <c r="N58" i="76"/>
  <c r="L58" i="76"/>
  <c r="B58" i="76"/>
  <c r="X57" i="76"/>
  <c r="T57" i="76"/>
  <c r="Z57" i="76" s="1"/>
  <c r="P57" i="76"/>
  <c r="N57" i="76"/>
  <c r="H57" i="76"/>
  <c r="D57" i="76"/>
  <c r="L57" i="76" s="1"/>
  <c r="B57" i="76"/>
  <c r="Z56" i="76"/>
  <c r="X56" i="76"/>
  <c r="N56" i="76"/>
  <c r="L56" i="76"/>
  <c r="B56" i="76"/>
  <c r="Z55" i="76"/>
  <c r="X55" i="76"/>
  <c r="N55" i="76"/>
  <c r="L55" i="76"/>
  <c r="B55" i="76"/>
  <c r="Z54" i="76"/>
  <c r="X54" i="76"/>
  <c r="N54" i="76"/>
  <c r="L54" i="76"/>
  <c r="B54" i="76"/>
  <c r="X53" i="76"/>
  <c r="T53" i="76"/>
  <c r="Z53" i="76" s="1"/>
  <c r="P53" i="76"/>
  <c r="N53" i="76"/>
  <c r="H53" i="76"/>
  <c r="D53" i="76"/>
  <c r="L53" i="76" s="1"/>
  <c r="B53" i="76"/>
  <c r="Z52" i="76"/>
  <c r="X52" i="76"/>
  <c r="N52" i="76"/>
  <c r="L52" i="76"/>
  <c r="B52" i="76"/>
  <c r="Z51" i="76"/>
  <c r="X51" i="76"/>
  <c r="N51" i="76"/>
  <c r="L51" i="76"/>
  <c r="B51" i="76"/>
  <c r="T50" i="76"/>
  <c r="P50" i="76"/>
  <c r="N50" i="76"/>
  <c r="L50" i="76"/>
  <c r="H50" i="76"/>
  <c r="D50" i="76"/>
  <c r="B50" i="76"/>
  <c r="X49" i="76"/>
  <c r="Z49" i="76" s="1"/>
  <c r="V49" i="76"/>
  <c r="N49" i="76"/>
  <c r="L49" i="76"/>
  <c r="B49" i="76"/>
  <c r="X48" i="76"/>
  <c r="Z48" i="76" s="1"/>
  <c r="T48" i="76"/>
  <c r="P48" i="76"/>
  <c r="H48" i="76"/>
  <c r="D48" i="76"/>
  <c r="L48" i="76" s="1"/>
  <c r="B48" i="76"/>
  <c r="Z47" i="76"/>
  <c r="X47" i="76"/>
  <c r="N47" i="76"/>
  <c r="L47" i="76"/>
  <c r="B47" i="76"/>
  <c r="V46" i="76"/>
  <c r="T46" i="76"/>
  <c r="P46" i="76"/>
  <c r="H46" i="76"/>
  <c r="D46" i="76"/>
  <c r="L46" i="76" s="1"/>
  <c r="N46" i="76" s="1"/>
  <c r="B46" i="76"/>
  <c r="Z45" i="76"/>
  <c r="X45" i="76"/>
  <c r="N45" i="76"/>
  <c r="L45" i="76"/>
  <c r="B45" i="76"/>
  <c r="T44" i="76"/>
  <c r="P44" i="76"/>
  <c r="X44" i="76" s="1"/>
  <c r="Z44" i="76" s="1"/>
  <c r="L44" i="76"/>
  <c r="H44" i="76"/>
  <c r="N44" i="76" s="1"/>
  <c r="D44" i="76"/>
  <c r="B44" i="76"/>
  <c r="Z43" i="76"/>
  <c r="X43" i="76"/>
  <c r="N43" i="76"/>
  <c r="L43" i="76"/>
  <c r="B43" i="76"/>
  <c r="X42" i="76"/>
  <c r="Z42" i="76" s="1"/>
  <c r="N42" i="76"/>
  <c r="L42" i="76"/>
  <c r="B42" i="76"/>
  <c r="T41" i="76"/>
  <c r="P41" i="76"/>
  <c r="X41" i="76" s="1"/>
  <c r="Z41" i="76" s="1"/>
  <c r="N41" i="76"/>
  <c r="L41" i="76"/>
  <c r="H41" i="76"/>
  <c r="D41" i="76"/>
  <c r="B41" i="76"/>
  <c r="Z40" i="76"/>
  <c r="X40" i="76"/>
  <c r="N40" i="76"/>
  <c r="L40" i="76"/>
  <c r="B40" i="76"/>
  <c r="Z39" i="76"/>
  <c r="X39" i="76"/>
  <c r="T39" i="76"/>
  <c r="P39" i="76"/>
  <c r="L39" i="76"/>
  <c r="H39" i="76"/>
  <c r="N39" i="76" s="1"/>
  <c r="D39" i="76"/>
  <c r="B39" i="76"/>
  <c r="Z38" i="76"/>
  <c r="X38" i="76"/>
  <c r="V38" i="76"/>
  <c r="N38" i="76"/>
  <c r="L38" i="76"/>
  <c r="B38" i="76"/>
  <c r="X37" i="76"/>
  <c r="T37" i="76"/>
  <c r="Z37" i="76" s="1"/>
  <c r="P37" i="76"/>
  <c r="H37" i="76"/>
  <c r="N37" i="76" s="1"/>
  <c r="D37" i="76"/>
  <c r="B37" i="76"/>
  <c r="Z36" i="76"/>
  <c r="X36" i="76"/>
  <c r="N36" i="76"/>
  <c r="L36" i="76"/>
  <c r="B36" i="76"/>
  <c r="T35" i="76"/>
  <c r="Z35" i="76" s="1"/>
  <c r="P35" i="76"/>
  <c r="N35" i="76"/>
  <c r="H35" i="76"/>
  <c r="D35" i="76"/>
  <c r="L35" i="76" s="1"/>
  <c r="B35" i="76"/>
  <c r="Z34" i="76"/>
  <c r="X34" i="76"/>
  <c r="N34" i="76"/>
  <c r="L34" i="76"/>
  <c r="B34" i="76"/>
  <c r="Z33" i="76"/>
  <c r="X33" i="76"/>
  <c r="N33" i="76"/>
  <c r="L33" i="76"/>
  <c r="B33" i="76"/>
  <c r="X32" i="76"/>
  <c r="Z32" i="76" s="1"/>
  <c r="N32" i="76"/>
  <c r="L32" i="76"/>
  <c r="B32" i="76"/>
  <c r="T31" i="76"/>
  <c r="P31" i="76"/>
  <c r="N31" i="76"/>
  <c r="H31" i="76"/>
  <c r="D31" i="76"/>
  <c r="L31" i="76" s="1"/>
  <c r="B31" i="76"/>
  <c r="X30" i="76"/>
  <c r="Z30" i="76" s="1"/>
  <c r="N30" i="76"/>
  <c r="L30" i="76"/>
  <c r="B30" i="76"/>
  <c r="Z29" i="76"/>
  <c r="X29" i="76"/>
  <c r="N29" i="76"/>
  <c r="L29" i="76"/>
  <c r="B29" i="76"/>
  <c r="Z28" i="76"/>
  <c r="X28" i="76"/>
  <c r="N28" i="76"/>
  <c r="L28" i="76"/>
  <c r="B28" i="76"/>
  <c r="Z27" i="76"/>
  <c r="X27" i="76"/>
  <c r="N27" i="76"/>
  <c r="L27" i="76"/>
  <c r="B27" i="76"/>
  <c r="Z26" i="76"/>
  <c r="X26" i="76"/>
  <c r="V26" i="76"/>
  <c r="N26" i="76"/>
  <c r="L26" i="76"/>
  <c r="B26" i="76"/>
  <c r="Z25" i="76"/>
  <c r="X25" i="76"/>
  <c r="V25" i="76"/>
  <c r="N25" i="76"/>
  <c r="L25" i="76"/>
  <c r="B25" i="76"/>
  <c r="Z24" i="76"/>
  <c r="X24" i="76"/>
  <c r="N24" i="76"/>
  <c r="L24" i="76"/>
  <c r="B24" i="76"/>
  <c r="Z23" i="76"/>
  <c r="X23" i="76"/>
  <c r="T23" i="76"/>
  <c r="P23" i="76"/>
  <c r="L23" i="76"/>
  <c r="H23" i="76"/>
  <c r="N23" i="76" s="1"/>
  <c r="D23" i="76"/>
  <c r="B23" i="76"/>
  <c r="T22" i="76"/>
  <c r="P22" i="76"/>
  <c r="H22" i="76"/>
  <c r="D22" i="76"/>
  <c r="L22" i="76" s="1"/>
  <c r="N22" i="76" s="1"/>
  <c r="Z18" i="76"/>
  <c r="X18" i="76"/>
  <c r="N18" i="76"/>
  <c r="L18" i="76"/>
  <c r="B18" i="76"/>
  <c r="X17" i="76"/>
  <c r="Z17" i="76" s="1"/>
  <c r="N17" i="76"/>
  <c r="L17" i="76"/>
  <c r="B17" i="76"/>
  <c r="X16" i="76"/>
  <c r="Z16" i="76" s="1"/>
  <c r="T16" i="76"/>
  <c r="P16" i="76"/>
  <c r="H16" i="76"/>
  <c r="D16" i="76"/>
  <c r="Z14" i="76"/>
  <c r="T14" i="76"/>
  <c r="P14" i="76"/>
  <c r="X14" i="76" s="1"/>
  <c r="N14" i="76"/>
  <c r="L14" i="76"/>
  <c r="H14" i="76"/>
  <c r="D14" i="76"/>
  <c r="B14" i="76"/>
  <c r="T13" i="76"/>
  <c r="Z13" i="76" s="1"/>
  <c r="P13" i="76"/>
  <c r="X13" i="76" s="1"/>
  <c r="N13" i="76"/>
  <c r="H13" i="76"/>
  <c r="H12" i="76" s="1"/>
  <c r="D13" i="76"/>
  <c r="L13" i="76" s="1"/>
  <c r="B13" i="76"/>
  <c r="T12" i="76"/>
  <c r="V72" i="76" s="1"/>
  <c r="D6" i="76"/>
  <c r="D4" i="76"/>
  <c r="X31" i="75"/>
  <c r="Z31" i="75" s="1"/>
  <c r="N31" i="75"/>
  <c r="L31" i="75"/>
  <c r="Z27" i="75"/>
  <c r="T27" i="75"/>
  <c r="R27" i="75"/>
  <c r="P27" i="75"/>
  <c r="X27" i="75" s="1"/>
  <c r="L27" i="75"/>
  <c r="H27" i="75"/>
  <c r="N27" i="75" s="1"/>
  <c r="D27" i="75"/>
  <c r="Z25" i="75"/>
  <c r="X25" i="75"/>
  <c r="T25" i="75"/>
  <c r="P25" i="75"/>
  <c r="H25" i="75"/>
  <c r="N25" i="75" s="1"/>
  <c r="D25" i="75"/>
  <c r="X21" i="75"/>
  <c r="Z21" i="75" s="1"/>
  <c r="N21" i="75"/>
  <c r="L21" i="75"/>
  <c r="B21" i="75"/>
  <c r="Z20" i="75"/>
  <c r="X20" i="75"/>
  <c r="N20" i="75"/>
  <c r="L20" i="75"/>
  <c r="B20" i="75"/>
  <c r="Z19" i="75"/>
  <c r="X19" i="75"/>
  <c r="N19" i="75"/>
  <c r="L19" i="75"/>
  <c r="B19" i="75"/>
  <c r="T18" i="75"/>
  <c r="P18" i="75"/>
  <c r="X18" i="75" s="1"/>
  <c r="Z18" i="75" s="1"/>
  <c r="N18" i="75"/>
  <c r="L18" i="75"/>
  <c r="H18" i="75"/>
  <c r="D18" i="75"/>
  <c r="T16" i="75"/>
  <c r="P16" i="75"/>
  <c r="N16" i="75"/>
  <c r="L16" i="75"/>
  <c r="H16" i="75"/>
  <c r="D16" i="75"/>
  <c r="B16" i="75"/>
  <c r="X15" i="75"/>
  <c r="Z15" i="75" s="1"/>
  <c r="T15" i="75"/>
  <c r="P15" i="75"/>
  <c r="P12" i="75" s="1"/>
  <c r="H15" i="75"/>
  <c r="D15" i="75"/>
  <c r="L15" i="75" s="1"/>
  <c r="N15" i="75" s="1"/>
  <c r="B15" i="75"/>
  <c r="T14" i="75"/>
  <c r="X14" i="75" s="1"/>
  <c r="Z14" i="75" s="1"/>
  <c r="P14" i="75"/>
  <c r="H14" i="75"/>
  <c r="D14" i="75"/>
  <c r="L14" i="75" s="1"/>
  <c r="B14" i="75"/>
  <c r="Z13" i="75"/>
  <c r="X13" i="75"/>
  <c r="T13" i="75"/>
  <c r="P13" i="75"/>
  <c r="H13" i="75"/>
  <c r="N13" i="75" s="1"/>
  <c r="D13" i="75"/>
  <c r="B13" i="75"/>
  <c r="D6" i="75"/>
  <c r="D4" i="75"/>
  <c r="R49" i="74"/>
  <c r="J46" i="74"/>
  <c r="Z44" i="74"/>
  <c r="X44" i="74"/>
  <c r="R44" i="74"/>
  <c r="N44" i="74"/>
  <c r="L44" i="74"/>
  <c r="R42" i="74"/>
  <c r="Z40" i="74"/>
  <c r="X40" i="74"/>
  <c r="T40" i="74"/>
  <c r="P40" i="74"/>
  <c r="L40" i="74"/>
  <c r="J40" i="74"/>
  <c r="H40" i="74"/>
  <c r="N40" i="74" s="1"/>
  <c r="D40" i="74"/>
  <c r="X38" i="74"/>
  <c r="Z38" i="74" s="1"/>
  <c r="R38" i="74"/>
  <c r="N38" i="74"/>
  <c r="L38" i="74"/>
  <c r="B38" i="74"/>
  <c r="V37" i="74"/>
  <c r="T37" i="74"/>
  <c r="P37" i="74"/>
  <c r="H37" i="74"/>
  <c r="D37" i="74"/>
  <c r="L37" i="74" s="1"/>
  <c r="N37" i="74" s="1"/>
  <c r="B37" i="74"/>
  <c r="Z36" i="74"/>
  <c r="X36" i="74"/>
  <c r="L36" i="74"/>
  <c r="N36" i="74" s="1"/>
  <c r="J36" i="74"/>
  <c r="B36" i="74"/>
  <c r="T35" i="74"/>
  <c r="R35" i="74"/>
  <c r="P35" i="74"/>
  <c r="X35" i="74" s="1"/>
  <c r="L35" i="74"/>
  <c r="N35" i="74" s="1"/>
  <c r="H35" i="74"/>
  <c r="D35" i="74"/>
  <c r="B35" i="74"/>
  <c r="Z34" i="74"/>
  <c r="X34" i="74"/>
  <c r="N34" i="74"/>
  <c r="L34" i="74"/>
  <c r="F34" i="74"/>
  <c r="B34" i="74"/>
  <c r="X33" i="74"/>
  <c r="Z33" i="74" s="1"/>
  <c r="L33" i="74"/>
  <c r="N33" i="74" s="1"/>
  <c r="J33" i="74"/>
  <c r="B33" i="74"/>
  <c r="T32" i="74"/>
  <c r="P32" i="74"/>
  <c r="X32" i="74" s="1"/>
  <c r="Z32" i="74" s="1"/>
  <c r="N32" i="74"/>
  <c r="L32" i="74"/>
  <c r="H32" i="74"/>
  <c r="D32" i="74"/>
  <c r="B32" i="74"/>
  <c r="X31" i="74"/>
  <c r="Z31" i="74" s="1"/>
  <c r="N31" i="74"/>
  <c r="L31" i="74"/>
  <c r="B31" i="74"/>
  <c r="Z30" i="74"/>
  <c r="X30" i="74"/>
  <c r="T30" i="74"/>
  <c r="P30" i="74"/>
  <c r="L30" i="74"/>
  <c r="J30" i="74"/>
  <c r="H30" i="74"/>
  <c r="N30" i="74" s="1"/>
  <c r="D30" i="74"/>
  <c r="B30" i="74"/>
  <c r="Z29" i="74"/>
  <c r="X29" i="74"/>
  <c r="V29" i="74"/>
  <c r="R29" i="74"/>
  <c r="L29" i="74"/>
  <c r="N29" i="74" s="1"/>
  <c r="B29" i="74"/>
  <c r="X28" i="74"/>
  <c r="V28" i="74"/>
  <c r="T28" i="74"/>
  <c r="R28" i="74"/>
  <c r="P28" i="74"/>
  <c r="H28" i="74"/>
  <c r="F28" i="74"/>
  <c r="D28" i="74"/>
  <c r="L28" i="74" s="1"/>
  <c r="B28" i="74"/>
  <c r="Z27" i="74"/>
  <c r="X27" i="74"/>
  <c r="N27" i="74"/>
  <c r="L27" i="74"/>
  <c r="B27" i="74"/>
  <c r="T26" i="74"/>
  <c r="R26" i="74"/>
  <c r="P26" i="74"/>
  <c r="N26" i="74"/>
  <c r="H26" i="74"/>
  <c r="D26" i="74"/>
  <c r="L26" i="74" s="1"/>
  <c r="B26" i="74"/>
  <c r="X25" i="74"/>
  <c r="Z25" i="74" s="1"/>
  <c r="N25" i="74"/>
  <c r="L25" i="74"/>
  <c r="J25" i="74"/>
  <c r="B25" i="74"/>
  <c r="Z24" i="74"/>
  <c r="X24" i="74"/>
  <c r="N24" i="74"/>
  <c r="L24" i="74"/>
  <c r="J24" i="74"/>
  <c r="B24" i="74"/>
  <c r="Z23" i="74"/>
  <c r="X23" i="74"/>
  <c r="N23" i="74"/>
  <c r="L23" i="74"/>
  <c r="B23" i="74"/>
  <c r="X22" i="74"/>
  <c r="Z22" i="74" s="1"/>
  <c r="R22" i="74"/>
  <c r="N22" i="74"/>
  <c r="L22" i="74"/>
  <c r="J22" i="74"/>
  <c r="B22" i="74"/>
  <c r="Z21" i="74"/>
  <c r="X21" i="74"/>
  <c r="V21" i="74"/>
  <c r="R21" i="74"/>
  <c r="N21" i="74"/>
  <c r="L21" i="74"/>
  <c r="B21" i="74"/>
  <c r="X20" i="74"/>
  <c r="V20" i="74"/>
  <c r="T20" i="74"/>
  <c r="Z20" i="74" s="1"/>
  <c r="R20" i="74"/>
  <c r="P20" i="74"/>
  <c r="H20" i="74"/>
  <c r="N20" i="74" s="1"/>
  <c r="D20" i="74"/>
  <c r="B20" i="74"/>
  <c r="T19" i="74"/>
  <c r="R19" i="74"/>
  <c r="P19" i="74"/>
  <c r="X19" i="74" s="1"/>
  <c r="Z19" i="74" s="1"/>
  <c r="L19" i="74"/>
  <c r="N19" i="74" s="1"/>
  <c r="H19" i="74"/>
  <c r="D19" i="74"/>
  <c r="J17" i="74"/>
  <c r="H17" i="74"/>
  <c r="Z15" i="74"/>
  <c r="X15" i="74"/>
  <c r="N15" i="74"/>
  <c r="L15" i="74"/>
  <c r="B15" i="74"/>
  <c r="T14" i="74"/>
  <c r="R14" i="74"/>
  <c r="P14" i="74"/>
  <c r="X14" i="74" s="1"/>
  <c r="H14" i="74"/>
  <c r="D14" i="74"/>
  <c r="L14" i="74" s="1"/>
  <c r="N14" i="74" s="1"/>
  <c r="Z12" i="74"/>
  <c r="T12" i="74"/>
  <c r="V31" i="74" s="1"/>
  <c r="P12" i="74"/>
  <c r="R37" i="74" s="1"/>
  <c r="H12" i="74"/>
  <c r="J27" i="74" s="1"/>
  <c r="D12" i="74"/>
  <c r="D6" i="74"/>
  <c r="D4" i="74"/>
  <c r="Z62" i="73"/>
  <c r="X62" i="73"/>
  <c r="L62" i="73"/>
  <c r="N62" i="73" s="1"/>
  <c r="J62" i="73"/>
  <c r="X58" i="73"/>
  <c r="T58" i="73"/>
  <c r="Z58" i="73" s="1"/>
  <c r="P58" i="73"/>
  <c r="H58" i="73"/>
  <c r="N58" i="73" s="1"/>
  <c r="D58" i="73"/>
  <c r="Z56" i="73"/>
  <c r="X56" i="73"/>
  <c r="L56" i="73"/>
  <c r="N56" i="73" s="1"/>
  <c r="J56" i="73"/>
  <c r="B56" i="73"/>
  <c r="T55" i="73"/>
  <c r="Z55" i="73" s="1"/>
  <c r="R55" i="73"/>
  <c r="P55" i="73"/>
  <c r="X55" i="73" s="1"/>
  <c r="L55" i="73"/>
  <c r="N55" i="73" s="1"/>
  <c r="H55" i="73"/>
  <c r="D55" i="73"/>
  <c r="B55" i="73"/>
  <c r="Z54" i="73"/>
  <c r="X54" i="73"/>
  <c r="L54" i="73"/>
  <c r="N54" i="73" s="1"/>
  <c r="B54" i="73"/>
  <c r="X53" i="73"/>
  <c r="Z53" i="73" s="1"/>
  <c r="T53" i="73"/>
  <c r="P53" i="73"/>
  <c r="N53" i="73"/>
  <c r="L53" i="73"/>
  <c r="H53" i="73"/>
  <c r="D53" i="73"/>
  <c r="B53" i="73"/>
  <c r="X52" i="73"/>
  <c r="Z52" i="73" s="1"/>
  <c r="N52" i="73"/>
  <c r="L52" i="73"/>
  <c r="B52" i="73"/>
  <c r="Z51" i="73"/>
  <c r="X51" i="73"/>
  <c r="N51" i="73"/>
  <c r="L51" i="73"/>
  <c r="B51" i="73"/>
  <c r="Z50" i="73"/>
  <c r="X50" i="73"/>
  <c r="N50" i="73"/>
  <c r="L50" i="73"/>
  <c r="B50" i="73"/>
  <c r="X49" i="73"/>
  <c r="Z49" i="73" s="1"/>
  <c r="N49" i="73"/>
  <c r="L49" i="73"/>
  <c r="J49" i="73"/>
  <c r="F49" i="73"/>
  <c r="B49" i="73"/>
  <c r="T48" i="73"/>
  <c r="P48" i="73"/>
  <c r="X48" i="73" s="1"/>
  <c r="Z48" i="73" s="1"/>
  <c r="N48" i="73"/>
  <c r="L48" i="73"/>
  <c r="H48" i="73"/>
  <c r="D48" i="73"/>
  <c r="B48" i="73"/>
  <c r="Z47" i="73"/>
  <c r="X47" i="73"/>
  <c r="N47" i="73"/>
  <c r="L47" i="73"/>
  <c r="B47" i="73"/>
  <c r="Z46" i="73"/>
  <c r="X46" i="73"/>
  <c r="T46" i="73"/>
  <c r="P46" i="73"/>
  <c r="L46" i="73"/>
  <c r="J46" i="73"/>
  <c r="H46" i="73"/>
  <c r="N46" i="73" s="1"/>
  <c r="D46" i="73"/>
  <c r="B46" i="73"/>
  <c r="X45" i="73"/>
  <c r="Z45" i="73" s="1"/>
  <c r="R45" i="73"/>
  <c r="L45" i="73"/>
  <c r="N45" i="73" s="1"/>
  <c r="B45" i="73"/>
  <c r="X44" i="73"/>
  <c r="Z44" i="73" s="1"/>
  <c r="N44" i="73"/>
  <c r="L44" i="73"/>
  <c r="B44" i="73"/>
  <c r="Z43" i="73"/>
  <c r="X43" i="73"/>
  <c r="T43" i="73"/>
  <c r="P43" i="73"/>
  <c r="H43" i="73"/>
  <c r="D43" i="73"/>
  <c r="L43" i="73" s="1"/>
  <c r="B43" i="73"/>
  <c r="X42" i="73"/>
  <c r="Z42" i="73" s="1"/>
  <c r="N42" i="73"/>
  <c r="L42" i="73"/>
  <c r="B42" i="73"/>
  <c r="T41" i="73"/>
  <c r="P41" i="73"/>
  <c r="X41" i="73" s="1"/>
  <c r="H41" i="73"/>
  <c r="N41" i="73" s="1"/>
  <c r="D41" i="73"/>
  <c r="L41" i="73" s="1"/>
  <c r="B41" i="73"/>
  <c r="Z40" i="73"/>
  <c r="X40" i="73"/>
  <c r="L40" i="73"/>
  <c r="N40" i="73" s="1"/>
  <c r="J40" i="73"/>
  <c r="B40" i="73"/>
  <c r="T39" i="73"/>
  <c r="R39" i="73"/>
  <c r="P39" i="73"/>
  <c r="X39" i="73" s="1"/>
  <c r="L39" i="73"/>
  <c r="N39" i="73" s="1"/>
  <c r="H39" i="73"/>
  <c r="D39" i="73"/>
  <c r="B39" i="73"/>
  <c r="Z38" i="73"/>
  <c r="X38" i="73"/>
  <c r="N38" i="73"/>
  <c r="L38" i="73"/>
  <c r="B38" i="73"/>
  <c r="Z37" i="73"/>
  <c r="X37" i="73"/>
  <c r="T37" i="73"/>
  <c r="P37" i="73"/>
  <c r="N37" i="73"/>
  <c r="L37" i="73"/>
  <c r="H37" i="73"/>
  <c r="D37" i="73"/>
  <c r="B37" i="73"/>
  <c r="X36" i="73"/>
  <c r="Z36" i="73" s="1"/>
  <c r="N36" i="73"/>
  <c r="L36" i="73"/>
  <c r="B36" i="73"/>
  <c r="X35" i="73"/>
  <c r="Z35" i="73" s="1"/>
  <c r="T35" i="73"/>
  <c r="P35" i="73"/>
  <c r="J35" i="73"/>
  <c r="H35" i="73"/>
  <c r="D35" i="73"/>
  <c r="L35" i="73" s="1"/>
  <c r="B35" i="73"/>
  <c r="X34" i="73"/>
  <c r="Z34" i="73" s="1"/>
  <c r="R34" i="73"/>
  <c r="N34" i="73"/>
  <c r="L34" i="73"/>
  <c r="B34" i="73"/>
  <c r="Z33" i="73"/>
  <c r="X33" i="73"/>
  <c r="N33" i="73"/>
  <c r="L33" i="73"/>
  <c r="B33" i="73"/>
  <c r="X32" i="73"/>
  <c r="Z32" i="73" s="1"/>
  <c r="N32" i="73"/>
  <c r="L32" i="73"/>
  <c r="B32" i="73"/>
  <c r="X31" i="73"/>
  <c r="Z31" i="73" s="1"/>
  <c r="T31" i="73"/>
  <c r="P31" i="73"/>
  <c r="H31" i="73"/>
  <c r="D31" i="73"/>
  <c r="B31" i="73"/>
  <c r="X30" i="73"/>
  <c r="Z30" i="73" s="1"/>
  <c r="R30" i="73"/>
  <c r="N30" i="73"/>
  <c r="L30" i="73"/>
  <c r="B30" i="73"/>
  <c r="X29" i="73"/>
  <c r="Z29" i="73" s="1"/>
  <c r="L29" i="73"/>
  <c r="N29" i="73" s="1"/>
  <c r="B29" i="73"/>
  <c r="X28" i="73"/>
  <c r="Z28" i="73" s="1"/>
  <c r="N28" i="73"/>
  <c r="L28" i="73"/>
  <c r="B28" i="73"/>
  <c r="X27" i="73"/>
  <c r="Z27" i="73" s="1"/>
  <c r="L27" i="73"/>
  <c r="N27" i="73" s="1"/>
  <c r="B27" i="73"/>
  <c r="Z26" i="73"/>
  <c r="X26" i="73"/>
  <c r="L26" i="73"/>
  <c r="N26" i="73" s="1"/>
  <c r="B26" i="73"/>
  <c r="X25" i="73"/>
  <c r="Z25" i="73" s="1"/>
  <c r="L25" i="73"/>
  <c r="N25" i="73" s="1"/>
  <c r="J25" i="73"/>
  <c r="B25" i="73"/>
  <c r="Z24" i="73"/>
  <c r="X24" i="73"/>
  <c r="L24" i="73"/>
  <c r="N24" i="73" s="1"/>
  <c r="J24" i="73"/>
  <c r="B24" i="73"/>
  <c r="X23" i="73"/>
  <c r="Z23" i="73" s="1"/>
  <c r="N23" i="73"/>
  <c r="L23" i="73"/>
  <c r="B23" i="73"/>
  <c r="T22" i="73"/>
  <c r="P22" i="73"/>
  <c r="X22" i="73" s="1"/>
  <c r="H22" i="73"/>
  <c r="D22" i="73"/>
  <c r="L22" i="73" s="1"/>
  <c r="N22" i="73" s="1"/>
  <c r="B22" i="73"/>
  <c r="X21" i="73"/>
  <c r="T21" i="73"/>
  <c r="Z21" i="73" s="1"/>
  <c r="P21" i="73"/>
  <c r="L21" i="73"/>
  <c r="N21" i="73" s="1"/>
  <c r="H21" i="73"/>
  <c r="D21" i="73"/>
  <c r="X17" i="73"/>
  <c r="Z17" i="73" s="1"/>
  <c r="L17" i="73"/>
  <c r="N17" i="73" s="1"/>
  <c r="J17" i="73"/>
  <c r="F17" i="73"/>
  <c r="B17" i="73"/>
  <c r="T16" i="73"/>
  <c r="P16" i="73"/>
  <c r="X16" i="73" s="1"/>
  <c r="Z16" i="73" s="1"/>
  <c r="N16" i="73"/>
  <c r="L16" i="73"/>
  <c r="J16" i="73"/>
  <c r="H16" i="73"/>
  <c r="D16" i="73"/>
  <c r="X14" i="73"/>
  <c r="T14" i="73"/>
  <c r="P14" i="73"/>
  <c r="H14" i="73"/>
  <c r="D14" i="73"/>
  <c r="L14" i="73" s="1"/>
  <c r="N14" i="73" s="1"/>
  <c r="B14" i="73"/>
  <c r="X13" i="73"/>
  <c r="Z13" i="73" s="1"/>
  <c r="T13" i="73"/>
  <c r="P13" i="73"/>
  <c r="P12" i="73" s="1"/>
  <c r="R33" i="73" s="1"/>
  <c r="H13" i="73"/>
  <c r="N13" i="73" s="1"/>
  <c r="D13" i="73"/>
  <c r="L13" i="73" s="1"/>
  <c r="B13" i="73"/>
  <c r="H12" i="73"/>
  <c r="J53" i="73" s="1"/>
  <c r="D12" i="73"/>
  <c r="D6" i="73"/>
  <c r="D4" i="73"/>
  <c r="V36" i="72"/>
  <c r="Z34" i="72"/>
  <c r="X34" i="72"/>
  <c r="N34" i="72"/>
  <c r="L34" i="72"/>
  <c r="J34" i="72"/>
  <c r="Z30" i="72"/>
  <c r="X30" i="72"/>
  <c r="V30" i="72"/>
  <c r="T30" i="72"/>
  <c r="P30" i="72"/>
  <c r="H30" i="72"/>
  <c r="D30" i="72"/>
  <c r="L30" i="72" s="1"/>
  <c r="B30" i="72"/>
  <c r="T29" i="72"/>
  <c r="Z29" i="72" s="1"/>
  <c r="R29" i="72"/>
  <c r="P29" i="72"/>
  <c r="X29" i="72" s="1"/>
  <c r="D29" i="72"/>
  <c r="Z27" i="72"/>
  <c r="X27" i="72"/>
  <c r="N27" i="72"/>
  <c r="L27" i="72"/>
  <c r="B27" i="72"/>
  <c r="Z26" i="72"/>
  <c r="T26" i="72"/>
  <c r="P26" i="72"/>
  <c r="X26" i="72" s="1"/>
  <c r="N26" i="72"/>
  <c r="L26" i="72"/>
  <c r="J26" i="72"/>
  <c r="H26" i="72"/>
  <c r="D26" i="72"/>
  <c r="B26" i="72"/>
  <c r="Z25" i="72"/>
  <c r="X25" i="72"/>
  <c r="V25" i="72"/>
  <c r="R25" i="72"/>
  <c r="N25" i="72"/>
  <c r="L25" i="72"/>
  <c r="B25" i="72"/>
  <c r="Z24" i="72"/>
  <c r="X24" i="72"/>
  <c r="V24" i="72"/>
  <c r="T24" i="72"/>
  <c r="R24" i="72"/>
  <c r="P24" i="72"/>
  <c r="H24" i="72"/>
  <c r="D24" i="72"/>
  <c r="B24" i="72"/>
  <c r="Z23" i="72"/>
  <c r="X23" i="72"/>
  <c r="N23" i="72"/>
  <c r="L23" i="72"/>
  <c r="B23" i="72"/>
  <c r="Z22" i="72"/>
  <c r="X22" i="72"/>
  <c r="R22" i="72"/>
  <c r="N22" i="72"/>
  <c r="L22" i="72"/>
  <c r="J22" i="72"/>
  <c r="B22" i="72"/>
  <c r="V21" i="72"/>
  <c r="T21" i="72"/>
  <c r="Z21" i="72" s="1"/>
  <c r="P21" i="72"/>
  <c r="H21" i="72"/>
  <c r="N21" i="72" s="1"/>
  <c r="D21" i="72"/>
  <c r="L21" i="72" s="1"/>
  <c r="B21" i="72"/>
  <c r="Z20" i="72"/>
  <c r="T20" i="72"/>
  <c r="P20" i="72"/>
  <c r="X20" i="72" s="1"/>
  <c r="N20" i="72"/>
  <c r="J20" i="72"/>
  <c r="H20" i="72"/>
  <c r="D20" i="72"/>
  <c r="L20" i="72" s="1"/>
  <c r="V18" i="72"/>
  <c r="R18" i="72"/>
  <c r="H18" i="72"/>
  <c r="Z16" i="72"/>
  <c r="X16" i="72"/>
  <c r="N16" i="72"/>
  <c r="L16" i="72"/>
  <c r="J16" i="72"/>
  <c r="B16" i="72"/>
  <c r="Z15" i="72"/>
  <c r="X15" i="72"/>
  <c r="N15" i="72"/>
  <c r="L15" i="72"/>
  <c r="B15" i="72"/>
  <c r="T14" i="72"/>
  <c r="R14" i="72"/>
  <c r="P14" i="72"/>
  <c r="N14" i="72"/>
  <c r="H14" i="72"/>
  <c r="D14" i="72"/>
  <c r="L14" i="72" s="1"/>
  <c r="Z12" i="72"/>
  <c r="T12" i="72"/>
  <c r="V27" i="72" s="1"/>
  <c r="P12" i="72"/>
  <c r="R21" i="72" s="1"/>
  <c r="H12" i="72"/>
  <c r="J23" i="72" s="1"/>
  <c r="D12" i="72"/>
  <c r="D6" i="72"/>
  <c r="D4" i="72"/>
  <c r="Z91" i="71"/>
  <c r="X91" i="71"/>
  <c r="L91" i="71"/>
  <c r="N91" i="71" s="1"/>
  <c r="X87" i="71"/>
  <c r="T87" i="71"/>
  <c r="P87" i="71"/>
  <c r="H87" i="71"/>
  <c r="D87" i="71"/>
  <c r="B87" i="71"/>
  <c r="Z86" i="71"/>
  <c r="T86" i="71"/>
  <c r="P86" i="71"/>
  <c r="N86" i="71"/>
  <c r="L86" i="71"/>
  <c r="H86" i="71"/>
  <c r="D86" i="71"/>
  <c r="B86" i="71"/>
  <c r="Z85" i="71"/>
  <c r="T85" i="71"/>
  <c r="P85" i="71"/>
  <c r="X85" i="71" s="1"/>
  <c r="L85" i="71"/>
  <c r="H85" i="71"/>
  <c r="N85" i="71" s="1"/>
  <c r="D85" i="71"/>
  <c r="B85" i="71"/>
  <c r="T84" i="71"/>
  <c r="D84" i="71"/>
  <c r="X82" i="71"/>
  <c r="Z82" i="71" s="1"/>
  <c r="L82" i="71"/>
  <c r="N82" i="71" s="1"/>
  <c r="B82" i="71"/>
  <c r="Z81" i="71"/>
  <c r="T81" i="71"/>
  <c r="P81" i="71"/>
  <c r="X81" i="71" s="1"/>
  <c r="H81" i="71"/>
  <c r="D81" i="71"/>
  <c r="L81" i="71" s="1"/>
  <c r="N81" i="71" s="1"/>
  <c r="B81" i="71"/>
  <c r="Z80" i="71"/>
  <c r="X80" i="71"/>
  <c r="N80" i="71"/>
  <c r="L80" i="71"/>
  <c r="B80" i="71"/>
  <c r="Z79" i="71"/>
  <c r="X79" i="71"/>
  <c r="L79" i="71"/>
  <c r="N79" i="71" s="1"/>
  <c r="B79" i="71"/>
  <c r="X78" i="71"/>
  <c r="Z78" i="71" s="1"/>
  <c r="N78" i="71"/>
  <c r="L78" i="71"/>
  <c r="B78" i="71"/>
  <c r="Z77" i="71"/>
  <c r="T77" i="71"/>
  <c r="P77" i="71"/>
  <c r="X77" i="71" s="1"/>
  <c r="J77" i="71"/>
  <c r="H77" i="71"/>
  <c r="D77" i="71"/>
  <c r="L77" i="71" s="1"/>
  <c r="N77" i="71" s="1"/>
  <c r="B77" i="71"/>
  <c r="Z76" i="71"/>
  <c r="X76" i="71"/>
  <c r="N76" i="71"/>
  <c r="L76" i="71"/>
  <c r="B76" i="71"/>
  <c r="Z75" i="71"/>
  <c r="T75" i="71"/>
  <c r="P75" i="71"/>
  <c r="X75" i="71" s="1"/>
  <c r="L75" i="71"/>
  <c r="H75" i="71"/>
  <c r="N75" i="71" s="1"/>
  <c r="D75" i="71"/>
  <c r="B75" i="71"/>
  <c r="Z74" i="71"/>
  <c r="X74" i="71"/>
  <c r="N74" i="71"/>
  <c r="L74" i="71"/>
  <c r="B74" i="71"/>
  <c r="X73" i="71"/>
  <c r="T73" i="71"/>
  <c r="Z73" i="71" s="1"/>
  <c r="P73" i="71"/>
  <c r="L73" i="71"/>
  <c r="H73" i="71"/>
  <c r="N73" i="71" s="1"/>
  <c r="D73" i="71"/>
  <c r="B73" i="71"/>
  <c r="Z72" i="71"/>
  <c r="X72" i="71"/>
  <c r="L72" i="71"/>
  <c r="N72" i="71" s="1"/>
  <c r="B72" i="71"/>
  <c r="X71" i="71"/>
  <c r="Z71" i="71" s="1"/>
  <c r="L71" i="71"/>
  <c r="N71" i="71" s="1"/>
  <c r="B71" i="71"/>
  <c r="T70" i="71"/>
  <c r="P70" i="71"/>
  <c r="X70" i="71" s="1"/>
  <c r="Z70" i="71" s="1"/>
  <c r="N70" i="71"/>
  <c r="H70" i="71"/>
  <c r="D70" i="71"/>
  <c r="L70" i="71" s="1"/>
  <c r="B70" i="71"/>
  <c r="Z69" i="71"/>
  <c r="X69" i="71"/>
  <c r="N69" i="71"/>
  <c r="L69" i="71"/>
  <c r="B69" i="71"/>
  <c r="T68" i="71"/>
  <c r="Z68" i="71" s="1"/>
  <c r="P68" i="71"/>
  <c r="H68" i="71"/>
  <c r="N68" i="71" s="1"/>
  <c r="D68" i="71"/>
  <c r="L68" i="71" s="1"/>
  <c r="B68" i="71"/>
  <c r="X67" i="71"/>
  <c r="Z67" i="71" s="1"/>
  <c r="L67" i="71"/>
  <c r="N67" i="71" s="1"/>
  <c r="B67" i="71"/>
  <c r="T66" i="71"/>
  <c r="P66" i="71"/>
  <c r="X66" i="71" s="1"/>
  <c r="H66" i="71"/>
  <c r="D66" i="71"/>
  <c r="L66" i="71" s="1"/>
  <c r="N66" i="71" s="1"/>
  <c r="B66" i="71"/>
  <c r="Z65" i="71"/>
  <c r="X65" i="71"/>
  <c r="L65" i="71"/>
  <c r="N65" i="71" s="1"/>
  <c r="B65" i="71"/>
  <c r="T64" i="71"/>
  <c r="P64" i="71"/>
  <c r="X64" i="71" s="1"/>
  <c r="Z64" i="71" s="1"/>
  <c r="L64" i="71"/>
  <c r="N64" i="71" s="1"/>
  <c r="H64" i="71"/>
  <c r="D64" i="71"/>
  <c r="B64" i="71"/>
  <c r="Z63" i="71"/>
  <c r="X63" i="71"/>
  <c r="N63" i="71"/>
  <c r="L63" i="71"/>
  <c r="B63" i="71"/>
  <c r="X62" i="71"/>
  <c r="Z62" i="71" s="1"/>
  <c r="N62" i="71"/>
  <c r="L62" i="71"/>
  <c r="B62" i="71"/>
  <c r="Z61" i="71"/>
  <c r="X61" i="71"/>
  <c r="L61" i="71"/>
  <c r="N61" i="71" s="1"/>
  <c r="B61" i="71"/>
  <c r="Z60" i="71"/>
  <c r="X60" i="71"/>
  <c r="L60" i="71"/>
  <c r="N60" i="71" s="1"/>
  <c r="B60" i="71"/>
  <c r="T59" i="71"/>
  <c r="P59" i="71"/>
  <c r="X59" i="71" s="1"/>
  <c r="N59" i="71"/>
  <c r="L59" i="71"/>
  <c r="H59" i="71"/>
  <c r="D59" i="71"/>
  <c r="B59" i="71"/>
  <c r="Z58" i="71"/>
  <c r="X58" i="71"/>
  <c r="N58" i="71"/>
  <c r="L58" i="71"/>
  <c r="B58" i="71"/>
  <c r="Z57" i="71"/>
  <c r="X57" i="71"/>
  <c r="L57" i="71"/>
  <c r="N57" i="71" s="1"/>
  <c r="B57" i="71"/>
  <c r="Z56" i="71"/>
  <c r="X56" i="71"/>
  <c r="L56" i="71"/>
  <c r="N56" i="71" s="1"/>
  <c r="J56" i="71"/>
  <c r="B56" i="71"/>
  <c r="X55" i="71"/>
  <c r="Z55" i="71" s="1"/>
  <c r="L55" i="71"/>
  <c r="N55" i="71" s="1"/>
  <c r="B55" i="71"/>
  <c r="Z54" i="71"/>
  <c r="X54" i="71"/>
  <c r="N54" i="71"/>
  <c r="L54" i="71"/>
  <c r="B54" i="71"/>
  <c r="X53" i="71"/>
  <c r="Z53" i="71" s="1"/>
  <c r="N53" i="71"/>
  <c r="L53" i="71"/>
  <c r="B53" i="71"/>
  <c r="X52" i="71"/>
  <c r="Z52" i="71" s="1"/>
  <c r="N52" i="71"/>
  <c r="L52" i="71"/>
  <c r="B52" i="71"/>
  <c r="X51" i="71"/>
  <c r="Z51" i="71" s="1"/>
  <c r="L51" i="71"/>
  <c r="N51" i="71" s="1"/>
  <c r="B51" i="71"/>
  <c r="Z50" i="71"/>
  <c r="X50" i="71"/>
  <c r="N50" i="71"/>
  <c r="L50" i="71"/>
  <c r="B50" i="71"/>
  <c r="X49" i="71"/>
  <c r="Z49" i="71" s="1"/>
  <c r="T49" i="71"/>
  <c r="P49" i="71"/>
  <c r="L49" i="71"/>
  <c r="H49" i="71"/>
  <c r="D49" i="71"/>
  <c r="B49" i="71"/>
  <c r="T48" i="71"/>
  <c r="P48" i="71"/>
  <c r="H48" i="71"/>
  <c r="D48" i="71"/>
  <c r="L48" i="71" s="1"/>
  <c r="X44" i="71"/>
  <c r="Z44" i="71" s="1"/>
  <c r="N44" i="71"/>
  <c r="L44" i="71"/>
  <c r="B44" i="71"/>
  <c r="X43" i="71"/>
  <c r="Z43" i="71" s="1"/>
  <c r="N43" i="71"/>
  <c r="L43" i="71"/>
  <c r="B43" i="71"/>
  <c r="Z42" i="71"/>
  <c r="X42" i="71"/>
  <c r="N42" i="71"/>
  <c r="L42" i="71"/>
  <c r="B42" i="71"/>
  <c r="X41" i="71"/>
  <c r="Z41" i="71" s="1"/>
  <c r="L41" i="71"/>
  <c r="N41" i="71" s="1"/>
  <c r="B41" i="71"/>
  <c r="Z40" i="71"/>
  <c r="X40" i="71"/>
  <c r="L40" i="71"/>
  <c r="N40" i="71" s="1"/>
  <c r="B40" i="71"/>
  <c r="Z39" i="71"/>
  <c r="X39" i="71"/>
  <c r="L39" i="71"/>
  <c r="N39" i="71" s="1"/>
  <c r="J39" i="71"/>
  <c r="B39" i="71"/>
  <c r="Z38" i="71"/>
  <c r="X38" i="71"/>
  <c r="L38" i="71"/>
  <c r="N38" i="71" s="1"/>
  <c r="J38" i="71"/>
  <c r="B38" i="71"/>
  <c r="X37" i="71"/>
  <c r="Z37" i="71" s="1"/>
  <c r="N37" i="71"/>
  <c r="L37" i="71"/>
  <c r="B37" i="71"/>
  <c r="X36" i="71"/>
  <c r="Z36" i="71" s="1"/>
  <c r="N36" i="71"/>
  <c r="L36" i="71"/>
  <c r="B36" i="71"/>
  <c r="X35" i="71"/>
  <c r="Z35" i="71" s="1"/>
  <c r="N35" i="71"/>
  <c r="L35" i="71"/>
  <c r="B35" i="71"/>
  <c r="Z34" i="71"/>
  <c r="X34" i="71"/>
  <c r="N34" i="71"/>
  <c r="L34" i="71"/>
  <c r="B34" i="71"/>
  <c r="Z33" i="71"/>
  <c r="X33" i="71"/>
  <c r="T33" i="71"/>
  <c r="P33" i="71"/>
  <c r="H33" i="71"/>
  <c r="D33" i="71"/>
  <c r="T31" i="71"/>
  <c r="Z31" i="71" s="1"/>
  <c r="P31" i="71"/>
  <c r="X31" i="71" s="1"/>
  <c r="L31" i="71"/>
  <c r="N31" i="71" s="1"/>
  <c r="H31" i="71"/>
  <c r="D31" i="71"/>
  <c r="B31" i="71"/>
  <c r="T30" i="71"/>
  <c r="Z30" i="71" s="1"/>
  <c r="P30" i="71"/>
  <c r="X30" i="71" s="1"/>
  <c r="N30" i="71"/>
  <c r="H30" i="71"/>
  <c r="L30" i="71" s="1"/>
  <c r="D30" i="71"/>
  <c r="B30" i="71"/>
  <c r="T29" i="71"/>
  <c r="P29" i="71"/>
  <c r="L29" i="71"/>
  <c r="N29" i="71" s="1"/>
  <c r="H29" i="71"/>
  <c r="D29" i="71"/>
  <c r="B29" i="71"/>
  <c r="T28" i="71"/>
  <c r="P28" i="71"/>
  <c r="H28" i="71"/>
  <c r="D28" i="71"/>
  <c r="L28" i="71" s="1"/>
  <c r="N28" i="71" s="1"/>
  <c r="B28" i="71"/>
  <c r="Z27" i="71"/>
  <c r="X27" i="71"/>
  <c r="T27" i="71"/>
  <c r="P27" i="71"/>
  <c r="H27" i="71"/>
  <c r="D27" i="71"/>
  <c r="L27" i="71" s="1"/>
  <c r="B27" i="71"/>
  <c r="T26" i="71"/>
  <c r="X26" i="71" s="1"/>
  <c r="Z26" i="71" s="1"/>
  <c r="P26" i="71"/>
  <c r="H26" i="71"/>
  <c r="D26" i="71"/>
  <c r="L26" i="71" s="1"/>
  <c r="B26" i="71"/>
  <c r="Z25" i="71"/>
  <c r="X25" i="71"/>
  <c r="T25" i="71"/>
  <c r="P25" i="71"/>
  <c r="H25" i="71"/>
  <c r="N25" i="71" s="1"/>
  <c r="D25" i="71"/>
  <c r="L25" i="71" s="1"/>
  <c r="B25" i="71"/>
  <c r="T24" i="71"/>
  <c r="P24" i="71"/>
  <c r="X24" i="71" s="1"/>
  <c r="Z24" i="71" s="1"/>
  <c r="L24" i="71"/>
  <c r="N24" i="71" s="1"/>
  <c r="H24" i="71"/>
  <c r="D24" i="71"/>
  <c r="B24" i="71"/>
  <c r="T23" i="71"/>
  <c r="P23" i="71"/>
  <c r="X23" i="71" s="1"/>
  <c r="L23" i="71"/>
  <c r="N23" i="71" s="1"/>
  <c r="H23" i="71"/>
  <c r="D23" i="71"/>
  <c r="B23" i="71"/>
  <c r="T22" i="71"/>
  <c r="P22" i="71"/>
  <c r="X22" i="71" s="1"/>
  <c r="N22" i="71"/>
  <c r="H22" i="71"/>
  <c r="L22" i="71" s="1"/>
  <c r="D22" i="71"/>
  <c r="B22" i="71"/>
  <c r="T21" i="71"/>
  <c r="P21" i="71"/>
  <c r="X21" i="71" s="1"/>
  <c r="L21" i="71"/>
  <c r="N21" i="71" s="1"/>
  <c r="H21" i="71"/>
  <c r="D21" i="71"/>
  <c r="B21" i="71"/>
  <c r="T20" i="71"/>
  <c r="X20" i="71" s="1"/>
  <c r="Z20" i="71" s="1"/>
  <c r="P20" i="71"/>
  <c r="H20" i="71"/>
  <c r="D20" i="71"/>
  <c r="L20" i="71" s="1"/>
  <c r="N20" i="71" s="1"/>
  <c r="B20" i="71"/>
  <c r="Z19" i="71"/>
  <c r="X19" i="71"/>
  <c r="T19" i="71"/>
  <c r="P19" i="71"/>
  <c r="H19" i="71"/>
  <c r="N19" i="71" s="1"/>
  <c r="D19" i="71"/>
  <c r="L19" i="71" s="1"/>
  <c r="B19" i="71"/>
  <c r="Z18" i="71"/>
  <c r="X18" i="71"/>
  <c r="T18" i="71"/>
  <c r="P18" i="71"/>
  <c r="H18" i="71"/>
  <c r="D18" i="71"/>
  <c r="L18" i="71" s="1"/>
  <c r="B18" i="71"/>
  <c r="Z17" i="71"/>
  <c r="X17" i="71"/>
  <c r="T17" i="71"/>
  <c r="P17" i="71"/>
  <c r="H17" i="71"/>
  <c r="D17" i="71"/>
  <c r="B17" i="71"/>
  <c r="T16" i="71"/>
  <c r="P16" i="71"/>
  <c r="X16" i="71" s="1"/>
  <c r="Z16" i="71" s="1"/>
  <c r="L16" i="71"/>
  <c r="N16" i="71" s="1"/>
  <c r="H16" i="71"/>
  <c r="D16" i="71"/>
  <c r="B16" i="71"/>
  <c r="T15" i="71"/>
  <c r="Z15" i="71" s="1"/>
  <c r="P15" i="71"/>
  <c r="X15" i="71" s="1"/>
  <c r="N15" i="71"/>
  <c r="L15" i="71"/>
  <c r="H15" i="71"/>
  <c r="D15" i="71"/>
  <c r="B15" i="71"/>
  <c r="T14" i="71"/>
  <c r="P14" i="71"/>
  <c r="X14" i="71" s="1"/>
  <c r="N14" i="71"/>
  <c r="L14" i="71"/>
  <c r="H14" i="71"/>
  <c r="H12" i="71" s="1"/>
  <c r="J71" i="71" s="1"/>
  <c r="D14" i="71"/>
  <c r="B14" i="71"/>
  <c r="T13" i="71"/>
  <c r="P13" i="71"/>
  <c r="N13" i="71"/>
  <c r="L13" i="71"/>
  <c r="H13" i="71"/>
  <c r="D13" i="71"/>
  <c r="B13" i="71"/>
  <c r="D6" i="71"/>
  <c r="D4" i="71"/>
  <c r="Z73" i="70"/>
  <c r="X73" i="70"/>
  <c r="L73" i="70"/>
  <c r="N73" i="70" s="1"/>
  <c r="T69" i="70"/>
  <c r="P69" i="70"/>
  <c r="H69" i="70"/>
  <c r="D69" i="70"/>
  <c r="B69" i="70"/>
  <c r="P68" i="70"/>
  <c r="X66" i="70"/>
  <c r="Z66" i="70" s="1"/>
  <c r="N66" i="70"/>
  <c r="L66" i="70"/>
  <c r="B66" i="70"/>
  <c r="X65" i="70"/>
  <c r="Z65" i="70" s="1"/>
  <c r="V65" i="70"/>
  <c r="T65" i="70"/>
  <c r="P65" i="70"/>
  <c r="H65" i="70"/>
  <c r="D65" i="70"/>
  <c r="B65" i="70"/>
  <c r="X64" i="70"/>
  <c r="Z64" i="70" s="1"/>
  <c r="N64" i="70"/>
  <c r="L64" i="70"/>
  <c r="B64" i="70"/>
  <c r="T63" i="70"/>
  <c r="P63" i="70"/>
  <c r="H63" i="70"/>
  <c r="N63" i="70" s="1"/>
  <c r="D63" i="70"/>
  <c r="L63" i="70" s="1"/>
  <c r="B63" i="70"/>
  <c r="Z62" i="70"/>
  <c r="X62" i="70"/>
  <c r="L62" i="70"/>
  <c r="N62" i="70" s="1"/>
  <c r="B62" i="70"/>
  <c r="X61" i="70"/>
  <c r="Z61" i="70" s="1"/>
  <c r="N61" i="70"/>
  <c r="L61" i="70"/>
  <c r="B61" i="70"/>
  <c r="Z60" i="70"/>
  <c r="X60" i="70"/>
  <c r="L60" i="70"/>
  <c r="N60" i="70" s="1"/>
  <c r="B60" i="70"/>
  <c r="Z59" i="70"/>
  <c r="X59" i="70"/>
  <c r="N59" i="70"/>
  <c r="L59" i="70"/>
  <c r="B59" i="70"/>
  <c r="X58" i="70"/>
  <c r="Z58" i="70" s="1"/>
  <c r="N58" i="70"/>
  <c r="L58" i="70"/>
  <c r="B58" i="70"/>
  <c r="X57" i="70"/>
  <c r="Z57" i="70" s="1"/>
  <c r="T57" i="70"/>
  <c r="P57" i="70"/>
  <c r="H57" i="70"/>
  <c r="D57" i="70"/>
  <c r="B57" i="70"/>
  <c r="Z56" i="70"/>
  <c r="X56" i="70"/>
  <c r="N56" i="70"/>
  <c r="L56" i="70"/>
  <c r="B56" i="70"/>
  <c r="T55" i="70"/>
  <c r="P55" i="70"/>
  <c r="H55" i="70"/>
  <c r="N55" i="70" s="1"/>
  <c r="D55" i="70"/>
  <c r="L55" i="70" s="1"/>
  <c r="B55" i="70"/>
  <c r="Z54" i="70"/>
  <c r="X54" i="70"/>
  <c r="N54" i="70"/>
  <c r="L54" i="70"/>
  <c r="B54" i="70"/>
  <c r="X53" i="70"/>
  <c r="Z53" i="70" s="1"/>
  <c r="L53" i="70"/>
  <c r="N53" i="70" s="1"/>
  <c r="B53" i="70"/>
  <c r="T52" i="70"/>
  <c r="P52" i="70"/>
  <c r="H52" i="70"/>
  <c r="D52" i="70"/>
  <c r="L52" i="70" s="1"/>
  <c r="N52" i="70" s="1"/>
  <c r="B52" i="70"/>
  <c r="Z51" i="70"/>
  <c r="X51" i="70"/>
  <c r="L51" i="70"/>
  <c r="N51" i="70" s="1"/>
  <c r="B51" i="70"/>
  <c r="Z50" i="70"/>
  <c r="X50" i="70"/>
  <c r="L50" i="70"/>
  <c r="N50" i="70" s="1"/>
  <c r="B50" i="70"/>
  <c r="T49" i="70"/>
  <c r="Z49" i="70" s="1"/>
  <c r="P49" i="70"/>
  <c r="X49" i="70" s="1"/>
  <c r="N49" i="70"/>
  <c r="H49" i="70"/>
  <c r="D49" i="70"/>
  <c r="L49" i="70" s="1"/>
  <c r="B49" i="70"/>
  <c r="X48" i="70"/>
  <c r="Z48" i="70" s="1"/>
  <c r="N48" i="70"/>
  <c r="L48" i="70"/>
  <c r="B48" i="70"/>
  <c r="T47" i="70"/>
  <c r="P47" i="70"/>
  <c r="X47" i="70" s="1"/>
  <c r="Z47" i="70" s="1"/>
  <c r="N47" i="70"/>
  <c r="L47" i="70"/>
  <c r="H47" i="70"/>
  <c r="D47" i="70"/>
  <c r="B47" i="70"/>
  <c r="Z46" i="70"/>
  <c r="X46" i="70"/>
  <c r="N46" i="70"/>
  <c r="L46" i="70"/>
  <c r="B46" i="70"/>
  <c r="Z45" i="70"/>
  <c r="X45" i="70"/>
  <c r="T45" i="70"/>
  <c r="P45" i="70"/>
  <c r="L45" i="70"/>
  <c r="H45" i="70"/>
  <c r="N45" i="70" s="1"/>
  <c r="D45" i="70"/>
  <c r="B45" i="70"/>
  <c r="Z44" i="70"/>
  <c r="X44" i="70"/>
  <c r="L44" i="70"/>
  <c r="N44" i="70" s="1"/>
  <c r="B44" i="70"/>
  <c r="X43" i="70"/>
  <c r="V43" i="70"/>
  <c r="T43" i="70"/>
  <c r="P43" i="70"/>
  <c r="H43" i="70"/>
  <c r="D43" i="70"/>
  <c r="L43" i="70" s="1"/>
  <c r="B43" i="70"/>
  <c r="Z42" i="70"/>
  <c r="X42" i="70"/>
  <c r="L42" i="70"/>
  <c r="N42" i="70" s="1"/>
  <c r="B42" i="70"/>
  <c r="Z41" i="70"/>
  <c r="X41" i="70"/>
  <c r="L41" i="70"/>
  <c r="N41" i="70" s="1"/>
  <c r="B41" i="70"/>
  <c r="Z40" i="70"/>
  <c r="X40" i="70"/>
  <c r="V40" i="70"/>
  <c r="L40" i="70"/>
  <c r="N40" i="70" s="1"/>
  <c r="B40" i="70"/>
  <c r="T39" i="70"/>
  <c r="P39" i="70"/>
  <c r="H39" i="70"/>
  <c r="D39" i="70"/>
  <c r="B39" i="70"/>
  <c r="Z38" i="70"/>
  <c r="X38" i="70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X35" i="70"/>
  <c r="Z35" i="70" s="1"/>
  <c r="N35" i="70"/>
  <c r="L35" i="70"/>
  <c r="B35" i="70"/>
  <c r="Z34" i="70"/>
  <c r="X34" i="70"/>
  <c r="N34" i="70"/>
  <c r="L34" i="70"/>
  <c r="B34" i="70"/>
  <c r="Z33" i="70"/>
  <c r="X33" i="70"/>
  <c r="N33" i="70"/>
  <c r="L33" i="70"/>
  <c r="B33" i="70"/>
  <c r="X32" i="70"/>
  <c r="Z32" i="70" s="1"/>
  <c r="N32" i="70"/>
  <c r="L32" i="70"/>
  <c r="B32" i="70"/>
  <c r="Z31" i="70"/>
  <c r="X31" i="70"/>
  <c r="L31" i="70"/>
  <c r="N31" i="70" s="1"/>
  <c r="B31" i="70"/>
  <c r="T30" i="70"/>
  <c r="P30" i="70"/>
  <c r="X30" i="70" s="1"/>
  <c r="Z30" i="70" s="1"/>
  <c r="L30" i="70"/>
  <c r="N30" i="70" s="1"/>
  <c r="H30" i="70"/>
  <c r="D30" i="70"/>
  <c r="B30" i="70"/>
  <c r="X29" i="70"/>
  <c r="Z29" i="70" s="1"/>
  <c r="T29" i="70"/>
  <c r="P29" i="70"/>
  <c r="H29" i="70"/>
  <c r="D29" i="70"/>
  <c r="T27" i="70"/>
  <c r="Z25" i="70"/>
  <c r="X25" i="70"/>
  <c r="T25" i="70"/>
  <c r="P25" i="70"/>
  <c r="L25" i="70"/>
  <c r="H25" i="70"/>
  <c r="N25" i="70" s="1"/>
  <c r="D25" i="70"/>
  <c r="T23" i="70"/>
  <c r="P23" i="70"/>
  <c r="X23" i="70" s="1"/>
  <c r="Z23" i="70" s="1"/>
  <c r="L23" i="70"/>
  <c r="N23" i="70" s="1"/>
  <c r="H23" i="70"/>
  <c r="D23" i="70"/>
  <c r="B23" i="70"/>
  <c r="T22" i="70"/>
  <c r="Z22" i="70" s="1"/>
  <c r="P22" i="70"/>
  <c r="X22" i="70" s="1"/>
  <c r="N22" i="70"/>
  <c r="L22" i="70"/>
  <c r="H22" i="70"/>
  <c r="D22" i="70"/>
  <c r="B22" i="70"/>
  <c r="X21" i="70"/>
  <c r="T21" i="70"/>
  <c r="P21" i="70"/>
  <c r="N21" i="70"/>
  <c r="L21" i="70"/>
  <c r="H21" i="70"/>
  <c r="D21" i="70"/>
  <c r="B21" i="70"/>
  <c r="T20" i="70"/>
  <c r="P20" i="70"/>
  <c r="X20" i="70" s="1"/>
  <c r="Z20" i="70" s="1"/>
  <c r="H20" i="70"/>
  <c r="D20" i="70"/>
  <c r="L20" i="70" s="1"/>
  <c r="N20" i="70" s="1"/>
  <c r="B20" i="70"/>
  <c r="X19" i="70"/>
  <c r="Z19" i="70" s="1"/>
  <c r="T19" i="70"/>
  <c r="P19" i="70"/>
  <c r="H19" i="70"/>
  <c r="D19" i="70"/>
  <c r="L19" i="70" s="1"/>
  <c r="B19" i="70"/>
  <c r="Z18" i="70"/>
  <c r="X18" i="70"/>
  <c r="T18" i="70"/>
  <c r="P18" i="70"/>
  <c r="H18" i="70"/>
  <c r="D18" i="70"/>
  <c r="L18" i="70" s="1"/>
  <c r="B18" i="70"/>
  <c r="Z17" i="70"/>
  <c r="X17" i="70"/>
  <c r="T17" i="70"/>
  <c r="P17" i="70"/>
  <c r="H17" i="70"/>
  <c r="N17" i="70" s="1"/>
  <c r="D17" i="70"/>
  <c r="L17" i="70" s="1"/>
  <c r="B17" i="70"/>
  <c r="T16" i="70"/>
  <c r="P16" i="70"/>
  <c r="X16" i="70" s="1"/>
  <c r="Z16" i="70" s="1"/>
  <c r="L16" i="70"/>
  <c r="N16" i="70" s="1"/>
  <c r="H16" i="70"/>
  <c r="D16" i="70"/>
  <c r="B16" i="70"/>
  <c r="T15" i="70"/>
  <c r="P15" i="70"/>
  <c r="X15" i="70" s="1"/>
  <c r="H15" i="70"/>
  <c r="D15" i="70"/>
  <c r="B15" i="70"/>
  <c r="T14" i="70"/>
  <c r="P14" i="70"/>
  <c r="X14" i="70" s="1"/>
  <c r="N14" i="70"/>
  <c r="L14" i="70"/>
  <c r="H14" i="70"/>
  <c r="D14" i="70"/>
  <c r="B14" i="70"/>
  <c r="T13" i="70"/>
  <c r="P13" i="70"/>
  <c r="N13" i="70"/>
  <c r="L13" i="70"/>
  <c r="H13" i="70"/>
  <c r="D13" i="70"/>
  <c r="B13" i="70"/>
  <c r="T12" i="70"/>
  <c r="V66" i="70" s="1"/>
  <c r="D6" i="70"/>
  <c r="D4" i="70"/>
  <c r="Z126" i="69"/>
  <c r="X126" i="69"/>
  <c r="N126" i="69"/>
  <c r="L126" i="69"/>
  <c r="T122" i="69"/>
  <c r="P122" i="69"/>
  <c r="X122" i="69" s="1"/>
  <c r="N122" i="69"/>
  <c r="H122" i="69"/>
  <c r="D122" i="69"/>
  <c r="L122" i="69" s="1"/>
  <c r="B122" i="69"/>
  <c r="T121" i="69"/>
  <c r="P121" i="69"/>
  <c r="N121" i="69"/>
  <c r="L121" i="69"/>
  <c r="H121" i="69"/>
  <c r="D121" i="69"/>
  <c r="B121" i="69"/>
  <c r="T120" i="69"/>
  <c r="H120" i="69"/>
  <c r="N120" i="69" s="1"/>
  <c r="Z118" i="69"/>
  <c r="X118" i="69"/>
  <c r="N118" i="69"/>
  <c r="L118" i="69"/>
  <c r="B118" i="69"/>
  <c r="T117" i="69"/>
  <c r="Z117" i="69" s="1"/>
  <c r="P117" i="69"/>
  <c r="X117" i="69" s="1"/>
  <c r="N117" i="69"/>
  <c r="H117" i="69"/>
  <c r="D117" i="69"/>
  <c r="L117" i="69" s="1"/>
  <c r="B117" i="69"/>
  <c r="Z116" i="69"/>
  <c r="X116" i="69"/>
  <c r="N116" i="69"/>
  <c r="L116" i="69"/>
  <c r="B116" i="69"/>
  <c r="Z115" i="69"/>
  <c r="T115" i="69"/>
  <c r="P115" i="69"/>
  <c r="X115" i="69" s="1"/>
  <c r="L115" i="69"/>
  <c r="N115" i="69" s="1"/>
  <c r="H115" i="69"/>
  <c r="D115" i="69"/>
  <c r="B115" i="69"/>
  <c r="Z114" i="69"/>
  <c r="X114" i="69"/>
  <c r="N114" i="69"/>
  <c r="L114" i="69"/>
  <c r="B114" i="69"/>
  <c r="X113" i="69"/>
  <c r="Z113" i="69" s="1"/>
  <c r="L113" i="69"/>
  <c r="N113" i="69" s="1"/>
  <c r="B113" i="69"/>
  <c r="Z112" i="69"/>
  <c r="X112" i="69"/>
  <c r="N112" i="69"/>
  <c r="L112" i="69"/>
  <c r="B112" i="69"/>
  <c r="Z111" i="69"/>
  <c r="T111" i="69"/>
  <c r="P111" i="69"/>
  <c r="X111" i="69" s="1"/>
  <c r="L111" i="69"/>
  <c r="N111" i="69" s="1"/>
  <c r="H111" i="69"/>
  <c r="D111" i="69"/>
  <c r="B111" i="69"/>
  <c r="Z110" i="69"/>
  <c r="X110" i="69"/>
  <c r="N110" i="69"/>
  <c r="L110" i="69"/>
  <c r="B110" i="69"/>
  <c r="Z109" i="69"/>
  <c r="X109" i="69"/>
  <c r="L109" i="69"/>
  <c r="N109" i="69" s="1"/>
  <c r="B109" i="69"/>
  <c r="X108" i="69"/>
  <c r="Z108" i="69" s="1"/>
  <c r="T108" i="69"/>
  <c r="P108" i="69"/>
  <c r="N108" i="69"/>
  <c r="L108" i="69"/>
  <c r="H108" i="69"/>
  <c r="D108" i="69"/>
  <c r="B108" i="69"/>
  <c r="Z107" i="69"/>
  <c r="X107" i="69"/>
  <c r="N107" i="69"/>
  <c r="L107" i="69"/>
  <c r="B107" i="69"/>
  <c r="Z106" i="69"/>
  <c r="X106" i="69"/>
  <c r="N106" i="69"/>
  <c r="L106" i="69"/>
  <c r="B106" i="69"/>
  <c r="Z105" i="69"/>
  <c r="X105" i="69"/>
  <c r="T105" i="69"/>
  <c r="P105" i="69"/>
  <c r="L105" i="69"/>
  <c r="H105" i="69"/>
  <c r="N105" i="69" s="1"/>
  <c r="D105" i="69"/>
  <c r="B105" i="69"/>
  <c r="Z104" i="69"/>
  <c r="X104" i="69"/>
  <c r="N104" i="69"/>
  <c r="L104" i="69"/>
  <c r="B104" i="69"/>
  <c r="X103" i="69"/>
  <c r="Z103" i="69" s="1"/>
  <c r="N103" i="69"/>
  <c r="L103" i="69"/>
  <c r="B103" i="69"/>
  <c r="X102" i="69"/>
  <c r="T102" i="69"/>
  <c r="P102" i="69"/>
  <c r="H102" i="69"/>
  <c r="D102" i="69"/>
  <c r="B102" i="69"/>
  <c r="Z101" i="69"/>
  <c r="X101" i="69"/>
  <c r="N101" i="69"/>
  <c r="L101" i="69"/>
  <c r="B101" i="69"/>
  <c r="Z100" i="69"/>
  <c r="X100" i="69"/>
  <c r="L100" i="69"/>
  <c r="N100" i="69" s="1"/>
  <c r="B100" i="69"/>
  <c r="T99" i="69"/>
  <c r="P99" i="69"/>
  <c r="H99" i="69"/>
  <c r="D99" i="69"/>
  <c r="B99" i="69"/>
  <c r="Z98" i="69"/>
  <c r="X98" i="69"/>
  <c r="N98" i="69"/>
  <c r="L98" i="69"/>
  <c r="B98" i="69"/>
  <c r="T97" i="69"/>
  <c r="Z97" i="69" s="1"/>
  <c r="P97" i="69"/>
  <c r="X97" i="69" s="1"/>
  <c r="N97" i="69"/>
  <c r="H97" i="69"/>
  <c r="D97" i="69"/>
  <c r="L97" i="69" s="1"/>
  <c r="B97" i="69"/>
  <c r="Z96" i="69"/>
  <c r="X96" i="69"/>
  <c r="N96" i="69"/>
  <c r="L96" i="69"/>
  <c r="B96" i="69"/>
  <c r="Z95" i="69"/>
  <c r="X95" i="69"/>
  <c r="N95" i="69"/>
  <c r="L95" i="69"/>
  <c r="B95" i="69"/>
  <c r="Z94" i="69"/>
  <c r="T94" i="69"/>
  <c r="P94" i="69"/>
  <c r="X94" i="69" s="1"/>
  <c r="N94" i="69"/>
  <c r="L94" i="69"/>
  <c r="H94" i="69"/>
  <c r="D94" i="69"/>
  <c r="B94" i="69"/>
  <c r="Z93" i="69"/>
  <c r="X93" i="69"/>
  <c r="L93" i="69"/>
  <c r="N93" i="69" s="1"/>
  <c r="B93" i="69"/>
  <c r="X92" i="69"/>
  <c r="Z92" i="69" s="1"/>
  <c r="T92" i="69"/>
  <c r="P92" i="69"/>
  <c r="L92" i="69"/>
  <c r="H92" i="69"/>
  <c r="D92" i="69"/>
  <c r="B92" i="69"/>
  <c r="X91" i="69"/>
  <c r="Z91" i="69" s="1"/>
  <c r="N91" i="69"/>
  <c r="L91" i="69"/>
  <c r="B91" i="69"/>
  <c r="X90" i="69"/>
  <c r="Z90" i="69" s="1"/>
  <c r="N90" i="69"/>
  <c r="L90" i="69"/>
  <c r="B90" i="69"/>
  <c r="Z89" i="69"/>
  <c r="X89" i="69"/>
  <c r="L89" i="69"/>
  <c r="N89" i="69" s="1"/>
  <c r="B89" i="69"/>
  <c r="X88" i="69"/>
  <c r="Z88" i="69" s="1"/>
  <c r="N88" i="69"/>
  <c r="L88" i="69"/>
  <c r="B88" i="69"/>
  <c r="Z87" i="69"/>
  <c r="X87" i="69"/>
  <c r="L87" i="69"/>
  <c r="N87" i="69" s="1"/>
  <c r="B87" i="69"/>
  <c r="T86" i="69"/>
  <c r="Z86" i="69" s="1"/>
  <c r="P86" i="69"/>
  <c r="X86" i="69" s="1"/>
  <c r="N86" i="69"/>
  <c r="L86" i="69"/>
  <c r="H86" i="69"/>
  <c r="D86" i="69"/>
  <c r="B86" i="69"/>
  <c r="Z85" i="69"/>
  <c r="X85" i="69"/>
  <c r="L85" i="69"/>
  <c r="N85" i="69" s="1"/>
  <c r="B85" i="69"/>
  <c r="X84" i="69"/>
  <c r="Z84" i="69" s="1"/>
  <c r="L84" i="69"/>
  <c r="N84" i="69" s="1"/>
  <c r="B84" i="69"/>
  <c r="Z83" i="69"/>
  <c r="X83" i="69"/>
  <c r="L83" i="69"/>
  <c r="N83" i="69" s="1"/>
  <c r="B83" i="69"/>
  <c r="Z82" i="69"/>
  <c r="X82" i="69"/>
  <c r="N82" i="69"/>
  <c r="L82" i="69"/>
  <c r="B82" i="69"/>
  <c r="Z81" i="69"/>
  <c r="X81" i="69"/>
  <c r="N81" i="69"/>
  <c r="L81" i="69"/>
  <c r="B81" i="69"/>
  <c r="X80" i="69"/>
  <c r="Z80" i="69" s="1"/>
  <c r="L80" i="69"/>
  <c r="N80" i="69" s="1"/>
  <c r="B80" i="69"/>
  <c r="X79" i="69"/>
  <c r="Z79" i="69" s="1"/>
  <c r="N79" i="69"/>
  <c r="L79" i="69"/>
  <c r="B79" i="69"/>
  <c r="X78" i="69"/>
  <c r="Z78" i="69" s="1"/>
  <c r="N78" i="69"/>
  <c r="L78" i="69"/>
  <c r="B78" i="69"/>
  <c r="Z77" i="69"/>
  <c r="X77" i="69"/>
  <c r="T77" i="69"/>
  <c r="P77" i="69"/>
  <c r="L77" i="69"/>
  <c r="H77" i="69"/>
  <c r="D77" i="69"/>
  <c r="B77" i="69"/>
  <c r="T76" i="69"/>
  <c r="P76" i="69"/>
  <c r="H76" i="69"/>
  <c r="D76" i="69"/>
  <c r="L76" i="69" s="1"/>
  <c r="X72" i="69"/>
  <c r="Z72" i="69" s="1"/>
  <c r="L72" i="69"/>
  <c r="N72" i="69" s="1"/>
  <c r="B72" i="69"/>
  <c r="Z71" i="69"/>
  <c r="X71" i="69"/>
  <c r="N71" i="69"/>
  <c r="L71" i="69"/>
  <c r="B71" i="69"/>
  <c r="Z70" i="69"/>
  <c r="X70" i="69"/>
  <c r="N70" i="69"/>
  <c r="L70" i="69"/>
  <c r="B70" i="69"/>
  <c r="Z69" i="69"/>
  <c r="X69" i="69"/>
  <c r="L69" i="69"/>
  <c r="N69" i="69" s="1"/>
  <c r="B69" i="69"/>
  <c r="Z68" i="69"/>
  <c r="X68" i="69"/>
  <c r="L68" i="69"/>
  <c r="N68" i="69" s="1"/>
  <c r="B68" i="69"/>
  <c r="Z67" i="69"/>
  <c r="X67" i="69"/>
  <c r="N67" i="69"/>
  <c r="L67" i="69"/>
  <c r="B67" i="69"/>
  <c r="Z66" i="69"/>
  <c r="X66" i="69"/>
  <c r="N66" i="69"/>
  <c r="L66" i="69"/>
  <c r="B66" i="69"/>
  <c r="X65" i="69"/>
  <c r="Z65" i="69" s="1"/>
  <c r="L65" i="69"/>
  <c r="N65" i="69" s="1"/>
  <c r="B65" i="69"/>
  <c r="X64" i="69"/>
  <c r="Z64" i="69" s="1"/>
  <c r="L64" i="69"/>
  <c r="N64" i="69" s="1"/>
  <c r="B64" i="69"/>
  <c r="Z63" i="69"/>
  <c r="X63" i="69"/>
  <c r="N63" i="69"/>
  <c r="L63" i="69"/>
  <c r="B63" i="69"/>
  <c r="Z62" i="69"/>
  <c r="X62" i="69"/>
  <c r="N62" i="69"/>
  <c r="L62" i="69"/>
  <c r="B62" i="69"/>
  <c r="Z61" i="69"/>
  <c r="X61" i="69"/>
  <c r="L61" i="69"/>
  <c r="N61" i="69" s="1"/>
  <c r="B61" i="69"/>
  <c r="X60" i="69"/>
  <c r="Z60" i="69" s="1"/>
  <c r="L60" i="69"/>
  <c r="N60" i="69" s="1"/>
  <c r="B60" i="69"/>
  <c r="Z59" i="69"/>
  <c r="X59" i="69"/>
  <c r="L59" i="69"/>
  <c r="N59" i="69" s="1"/>
  <c r="B59" i="69"/>
  <c r="Z58" i="69"/>
  <c r="X58" i="69"/>
  <c r="N58" i="69"/>
  <c r="L58" i="69"/>
  <c r="B58" i="69"/>
  <c r="Z57" i="69"/>
  <c r="X57" i="69"/>
  <c r="N57" i="69"/>
  <c r="L57" i="69"/>
  <c r="B57" i="69"/>
  <c r="Z56" i="69"/>
  <c r="X56" i="69"/>
  <c r="N56" i="69"/>
  <c r="L56" i="69"/>
  <c r="B56" i="69"/>
  <c r="X55" i="69"/>
  <c r="Z55" i="69" s="1"/>
  <c r="N55" i="69"/>
  <c r="L55" i="69"/>
  <c r="B55" i="69"/>
  <c r="Z54" i="69"/>
  <c r="X54" i="69"/>
  <c r="N54" i="69"/>
  <c r="L54" i="69"/>
  <c r="B54" i="69"/>
  <c r="Z53" i="69"/>
  <c r="T53" i="69"/>
  <c r="X53" i="69" s="1"/>
  <c r="P53" i="69"/>
  <c r="N53" i="69"/>
  <c r="L53" i="69"/>
  <c r="H53" i="69"/>
  <c r="D53" i="69"/>
  <c r="T51" i="69"/>
  <c r="P51" i="69"/>
  <c r="N51" i="69"/>
  <c r="H51" i="69"/>
  <c r="D51" i="69"/>
  <c r="L51" i="69" s="1"/>
  <c r="B51" i="69"/>
  <c r="T50" i="69"/>
  <c r="P50" i="69"/>
  <c r="X50" i="69" s="1"/>
  <c r="L50" i="69"/>
  <c r="H50" i="69"/>
  <c r="N50" i="69" s="1"/>
  <c r="D50" i="69"/>
  <c r="B50" i="69"/>
  <c r="T49" i="69"/>
  <c r="X49" i="69" s="1"/>
  <c r="Z49" i="69" s="1"/>
  <c r="P49" i="69"/>
  <c r="N49" i="69"/>
  <c r="L49" i="69"/>
  <c r="H49" i="69"/>
  <c r="D49" i="69"/>
  <c r="B49" i="69"/>
  <c r="Z48" i="69"/>
  <c r="X48" i="69"/>
  <c r="T48" i="69"/>
  <c r="P48" i="69"/>
  <c r="N48" i="69"/>
  <c r="H48" i="69"/>
  <c r="D48" i="69"/>
  <c r="L48" i="69" s="1"/>
  <c r="B48" i="69"/>
  <c r="T47" i="69"/>
  <c r="P47" i="69"/>
  <c r="X47" i="69" s="1"/>
  <c r="Z47" i="69" s="1"/>
  <c r="H47" i="69"/>
  <c r="D47" i="69"/>
  <c r="L47" i="69" s="1"/>
  <c r="B47" i="69"/>
  <c r="X46" i="69"/>
  <c r="T46" i="69"/>
  <c r="Z46" i="69" s="1"/>
  <c r="P46" i="69"/>
  <c r="H46" i="69"/>
  <c r="D46" i="69"/>
  <c r="B46" i="69"/>
  <c r="Z45" i="69"/>
  <c r="X45" i="69"/>
  <c r="T45" i="69"/>
  <c r="P45" i="69"/>
  <c r="L45" i="69"/>
  <c r="N45" i="69" s="1"/>
  <c r="H45" i="69"/>
  <c r="D45" i="69"/>
  <c r="B45" i="69"/>
  <c r="T44" i="69"/>
  <c r="P44" i="69"/>
  <c r="X44" i="69" s="1"/>
  <c r="Z44" i="69" s="1"/>
  <c r="L44" i="69"/>
  <c r="N44" i="69" s="1"/>
  <c r="H44" i="69"/>
  <c r="D44" i="69"/>
  <c r="B44" i="69"/>
  <c r="T43" i="69"/>
  <c r="P43" i="69"/>
  <c r="N43" i="69"/>
  <c r="H43" i="69"/>
  <c r="D43" i="69"/>
  <c r="L43" i="69" s="1"/>
  <c r="B43" i="69"/>
  <c r="T42" i="69"/>
  <c r="P42" i="69"/>
  <c r="X42" i="69" s="1"/>
  <c r="L42" i="69"/>
  <c r="H42" i="69"/>
  <c r="N42" i="69" s="1"/>
  <c r="D42" i="69"/>
  <c r="B42" i="69"/>
  <c r="T41" i="69"/>
  <c r="P41" i="69"/>
  <c r="N41" i="69"/>
  <c r="L41" i="69"/>
  <c r="H41" i="69"/>
  <c r="D41" i="69"/>
  <c r="B41" i="69"/>
  <c r="X40" i="69"/>
  <c r="Z40" i="69" s="1"/>
  <c r="T40" i="69"/>
  <c r="P40" i="69"/>
  <c r="N40" i="69"/>
  <c r="H40" i="69"/>
  <c r="D40" i="69"/>
  <c r="L40" i="69" s="1"/>
  <c r="B40" i="69"/>
  <c r="Z39" i="69"/>
  <c r="T39" i="69"/>
  <c r="P39" i="69"/>
  <c r="X39" i="69" s="1"/>
  <c r="H39" i="69"/>
  <c r="N39" i="69" s="1"/>
  <c r="D39" i="69"/>
  <c r="L39" i="69" s="1"/>
  <c r="B39" i="69"/>
  <c r="X38" i="69"/>
  <c r="T38" i="69"/>
  <c r="Z38" i="69" s="1"/>
  <c r="P38" i="69"/>
  <c r="H38" i="69"/>
  <c r="D38" i="69"/>
  <c r="B38" i="69"/>
  <c r="Z37" i="69"/>
  <c r="X37" i="69"/>
  <c r="T37" i="69"/>
  <c r="P37" i="69"/>
  <c r="L37" i="69"/>
  <c r="N37" i="69" s="1"/>
  <c r="H37" i="69"/>
  <c r="D37" i="69"/>
  <c r="B37" i="69"/>
  <c r="T36" i="69"/>
  <c r="P36" i="69"/>
  <c r="X36" i="69" s="1"/>
  <c r="Z36" i="69" s="1"/>
  <c r="L36" i="69"/>
  <c r="N36" i="69" s="1"/>
  <c r="H36" i="69"/>
  <c r="D36" i="69"/>
  <c r="B36" i="69"/>
  <c r="T35" i="69"/>
  <c r="P35" i="69"/>
  <c r="X35" i="69" s="1"/>
  <c r="H35" i="69"/>
  <c r="D35" i="69"/>
  <c r="L35" i="69" s="1"/>
  <c r="N35" i="69" s="1"/>
  <c r="B35" i="69"/>
  <c r="T34" i="69"/>
  <c r="X34" i="69" s="1"/>
  <c r="P34" i="69"/>
  <c r="L34" i="69"/>
  <c r="H34" i="69"/>
  <c r="N34" i="69" s="1"/>
  <c r="D34" i="69"/>
  <c r="B34" i="69"/>
  <c r="Z33" i="69"/>
  <c r="T33" i="69"/>
  <c r="X33" i="69" s="1"/>
  <c r="P33" i="69"/>
  <c r="N33" i="69"/>
  <c r="L33" i="69"/>
  <c r="H33" i="69"/>
  <c r="D33" i="69"/>
  <c r="B33" i="69"/>
  <c r="X32" i="69"/>
  <c r="Z32" i="69" s="1"/>
  <c r="T32" i="69"/>
  <c r="P32" i="69"/>
  <c r="N32" i="69"/>
  <c r="H32" i="69"/>
  <c r="D32" i="69"/>
  <c r="L32" i="69" s="1"/>
  <c r="B32" i="69"/>
  <c r="Z31" i="69"/>
  <c r="T31" i="69"/>
  <c r="P31" i="69"/>
  <c r="X31" i="69" s="1"/>
  <c r="H31" i="69"/>
  <c r="N31" i="69" s="1"/>
  <c r="D31" i="69"/>
  <c r="L31" i="69" s="1"/>
  <c r="B31" i="69"/>
  <c r="X30" i="69"/>
  <c r="T30" i="69"/>
  <c r="Z30" i="69" s="1"/>
  <c r="P30" i="69"/>
  <c r="L30" i="69"/>
  <c r="H30" i="69"/>
  <c r="D30" i="69"/>
  <c r="B30" i="69"/>
  <c r="Z29" i="69"/>
  <c r="X29" i="69"/>
  <c r="T29" i="69"/>
  <c r="P29" i="69"/>
  <c r="N29" i="69"/>
  <c r="H29" i="69"/>
  <c r="L29" i="69" s="1"/>
  <c r="D29" i="69"/>
  <c r="B29" i="69"/>
  <c r="T28" i="69"/>
  <c r="P28" i="69"/>
  <c r="X28" i="69" s="1"/>
  <c r="Z28" i="69" s="1"/>
  <c r="L28" i="69"/>
  <c r="N28" i="69" s="1"/>
  <c r="H28" i="69"/>
  <c r="D28" i="69"/>
  <c r="B28" i="69"/>
  <c r="T27" i="69"/>
  <c r="P27" i="69"/>
  <c r="X27" i="69" s="1"/>
  <c r="N27" i="69"/>
  <c r="H27" i="69"/>
  <c r="D27" i="69"/>
  <c r="L27" i="69" s="1"/>
  <c r="B27" i="69"/>
  <c r="T26" i="69"/>
  <c r="P26" i="69"/>
  <c r="L26" i="69"/>
  <c r="H26" i="69"/>
  <c r="N26" i="69" s="1"/>
  <c r="D26" i="69"/>
  <c r="B26" i="69"/>
  <c r="T25" i="69"/>
  <c r="Z25" i="69" s="1"/>
  <c r="P25" i="69"/>
  <c r="N25" i="69"/>
  <c r="L25" i="69"/>
  <c r="H25" i="69"/>
  <c r="D25" i="69"/>
  <c r="B25" i="69"/>
  <c r="X24" i="69"/>
  <c r="Z24" i="69" s="1"/>
  <c r="T24" i="69"/>
  <c r="P24" i="69"/>
  <c r="H24" i="69"/>
  <c r="D24" i="69"/>
  <c r="L24" i="69" s="1"/>
  <c r="N24" i="69" s="1"/>
  <c r="B24" i="69"/>
  <c r="T23" i="69"/>
  <c r="P23" i="69"/>
  <c r="X23" i="69" s="1"/>
  <c r="Z23" i="69" s="1"/>
  <c r="H23" i="69"/>
  <c r="D23" i="69"/>
  <c r="L23" i="69" s="1"/>
  <c r="B23" i="69"/>
  <c r="X22" i="69"/>
  <c r="T22" i="69"/>
  <c r="Z22" i="69" s="1"/>
  <c r="P22" i="69"/>
  <c r="H22" i="69"/>
  <c r="D22" i="69"/>
  <c r="B22" i="69"/>
  <c r="Z21" i="69"/>
  <c r="X21" i="69"/>
  <c r="T21" i="69"/>
  <c r="P21" i="69"/>
  <c r="L21" i="69"/>
  <c r="N21" i="69" s="1"/>
  <c r="H21" i="69"/>
  <c r="D21" i="69"/>
  <c r="B21" i="69"/>
  <c r="T20" i="69"/>
  <c r="P20" i="69"/>
  <c r="X20" i="69" s="1"/>
  <c r="Z20" i="69" s="1"/>
  <c r="L20" i="69"/>
  <c r="N20" i="69" s="1"/>
  <c r="H20" i="69"/>
  <c r="D20" i="69"/>
  <c r="B20" i="69"/>
  <c r="T19" i="69"/>
  <c r="P19" i="69"/>
  <c r="N19" i="69"/>
  <c r="H19" i="69"/>
  <c r="D19" i="69"/>
  <c r="L19" i="69" s="1"/>
  <c r="B19" i="69"/>
  <c r="T18" i="69"/>
  <c r="P18" i="69"/>
  <c r="L18" i="69"/>
  <c r="H18" i="69"/>
  <c r="N18" i="69" s="1"/>
  <c r="D18" i="69"/>
  <c r="B18" i="69"/>
  <c r="T17" i="69"/>
  <c r="P17" i="69"/>
  <c r="N17" i="69"/>
  <c r="L17" i="69"/>
  <c r="H17" i="69"/>
  <c r="D17" i="69"/>
  <c r="B17" i="69"/>
  <c r="X16" i="69"/>
  <c r="Z16" i="69" s="1"/>
  <c r="T16" i="69"/>
  <c r="P16" i="69"/>
  <c r="N16" i="69"/>
  <c r="H16" i="69"/>
  <c r="D16" i="69"/>
  <c r="L16" i="69" s="1"/>
  <c r="B16" i="69"/>
  <c r="T15" i="69"/>
  <c r="P15" i="69"/>
  <c r="X15" i="69" s="1"/>
  <c r="Z15" i="69" s="1"/>
  <c r="H15" i="69"/>
  <c r="D15" i="69"/>
  <c r="L15" i="69" s="1"/>
  <c r="B15" i="69"/>
  <c r="X14" i="69"/>
  <c r="T14" i="69"/>
  <c r="Z14" i="69" s="1"/>
  <c r="P14" i="69"/>
  <c r="L14" i="69"/>
  <c r="H14" i="69"/>
  <c r="N14" i="69" s="1"/>
  <c r="D14" i="69"/>
  <c r="B14" i="69"/>
  <c r="Z13" i="69"/>
  <c r="X13" i="69"/>
  <c r="T13" i="69"/>
  <c r="P13" i="69"/>
  <c r="N13" i="69"/>
  <c r="L13" i="69"/>
  <c r="H13" i="69"/>
  <c r="D13" i="69"/>
  <c r="B13" i="69"/>
  <c r="D6" i="69"/>
  <c r="D4" i="69"/>
  <c r="Z48" i="67"/>
  <c r="X48" i="67"/>
  <c r="N48" i="67"/>
  <c r="L48" i="67"/>
  <c r="V44" i="67"/>
  <c r="T44" i="67"/>
  <c r="Z44" i="67" s="1"/>
  <c r="P44" i="67"/>
  <c r="X44" i="67" s="1"/>
  <c r="N44" i="67"/>
  <c r="H44" i="67"/>
  <c r="D44" i="67"/>
  <c r="L44" i="67" s="1"/>
  <c r="Z42" i="67"/>
  <c r="X42" i="67"/>
  <c r="L42" i="67"/>
  <c r="N42" i="67" s="1"/>
  <c r="B42" i="67"/>
  <c r="T41" i="67"/>
  <c r="P41" i="67"/>
  <c r="X41" i="67" s="1"/>
  <c r="Z41" i="67" s="1"/>
  <c r="N41" i="67"/>
  <c r="L41" i="67"/>
  <c r="H41" i="67"/>
  <c r="D41" i="67"/>
  <c r="B41" i="67"/>
  <c r="Z40" i="67"/>
  <c r="X40" i="67"/>
  <c r="N40" i="67"/>
  <c r="L40" i="67"/>
  <c r="B40" i="67"/>
  <c r="Z39" i="67"/>
  <c r="X39" i="67"/>
  <c r="T39" i="67"/>
  <c r="P39" i="67"/>
  <c r="H39" i="67"/>
  <c r="D39" i="67"/>
  <c r="B39" i="67"/>
  <c r="X38" i="67"/>
  <c r="Z38" i="67" s="1"/>
  <c r="N38" i="67"/>
  <c r="L38" i="67"/>
  <c r="B38" i="67"/>
  <c r="X37" i="67"/>
  <c r="V37" i="67"/>
  <c r="T37" i="67"/>
  <c r="P37" i="67"/>
  <c r="H37" i="67"/>
  <c r="D37" i="67"/>
  <c r="L37" i="67" s="1"/>
  <c r="B37" i="67"/>
  <c r="Z36" i="67"/>
  <c r="X36" i="67"/>
  <c r="L36" i="67"/>
  <c r="N36" i="67" s="1"/>
  <c r="B36" i="67"/>
  <c r="T35" i="67"/>
  <c r="P35" i="67"/>
  <c r="H35" i="67"/>
  <c r="D35" i="67"/>
  <c r="L35" i="67" s="1"/>
  <c r="N35" i="67" s="1"/>
  <c r="B35" i="67"/>
  <c r="Z34" i="67"/>
  <c r="X34" i="67"/>
  <c r="L34" i="67"/>
  <c r="N34" i="67" s="1"/>
  <c r="B34" i="67"/>
  <c r="T33" i="67"/>
  <c r="P33" i="67"/>
  <c r="X33" i="67" s="1"/>
  <c r="Z33" i="67" s="1"/>
  <c r="N33" i="67"/>
  <c r="L33" i="67"/>
  <c r="H33" i="67"/>
  <c r="D33" i="67"/>
  <c r="B33" i="67"/>
  <c r="Z32" i="67"/>
  <c r="X32" i="67"/>
  <c r="N32" i="67"/>
  <c r="L32" i="67"/>
  <c r="B32" i="67"/>
  <c r="Z31" i="67"/>
  <c r="X31" i="67"/>
  <c r="N31" i="67"/>
  <c r="L31" i="67"/>
  <c r="B31" i="67"/>
  <c r="Z30" i="67"/>
  <c r="X30" i="67"/>
  <c r="L30" i="67"/>
  <c r="N30" i="67" s="1"/>
  <c r="B30" i="67"/>
  <c r="X29" i="67"/>
  <c r="Z29" i="67" s="1"/>
  <c r="L29" i="67"/>
  <c r="N29" i="67" s="1"/>
  <c r="B29" i="67"/>
  <c r="Z28" i="67"/>
  <c r="X28" i="67"/>
  <c r="L28" i="67"/>
  <c r="N28" i="67" s="1"/>
  <c r="B28" i="67"/>
  <c r="Z27" i="67"/>
  <c r="X27" i="67"/>
  <c r="N27" i="67"/>
  <c r="L27" i="67"/>
  <c r="B27" i="67"/>
  <c r="X26" i="67"/>
  <c r="Z26" i="67" s="1"/>
  <c r="N26" i="67"/>
  <c r="L26" i="67"/>
  <c r="B26" i="67"/>
  <c r="X25" i="67"/>
  <c r="Z25" i="67" s="1"/>
  <c r="L25" i="67"/>
  <c r="N25" i="67" s="1"/>
  <c r="B25" i="67"/>
  <c r="Z24" i="67"/>
  <c r="X24" i="67"/>
  <c r="V24" i="67"/>
  <c r="T24" i="67"/>
  <c r="P24" i="67"/>
  <c r="H24" i="67"/>
  <c r="D24" i="67"/>
  <c r="L24" i="67" s="1"/>
  <c r="B24" i="67"/>
  <c r="T23" i="67"/>
  <c r="P23" i="67"/>
  <c r="H23" i="67"/>
  <c r="D23" i="67"/>
  <c r="L23" i="67" s="1"/>
  <c r="N23" i="67" s="1"/>
  <c r="Z19" i="67"/>
  <c r="X19" i="67"/>
  <c r="N19" i="67"/>
  <c r="L19" i="67"/>
  <c r="B19" i="67"/>
  <c r="T18" i="67"/>
  <c r="P18" i="67"/>
  <c r="X18" i="67" s="1"/>
  <c r="N18" i="67"/>
  <c r="H18" i="67"/>
  <c r="D18" i="67"/>
  <c r="L18" i="67" s="1"/>
  <c r="T16" i="67"/>
  <c r="T12" i="67" s="1"/>
  <c r="P16" i="67"/>
  <c r="H16" i="67"/>
  <c r="N16" i="67" s="1"/>
  <c r="D16" i="67"/>
  <c r="B16" i="67"/>
  <c r="Z15" i="67"/>
  <c r="X15" i="67"/>
  <c r="T15" i="67"/>
  <c r="P15" i="67"/>
  <c r="H15" i="67"/>
  <c r="N15" i="67" s="1"/>
  <c r="D15" i="67"/>
  <c r="L15" i="67" s="1"/>
  <c r="B15" i="67"/>
  <c r="Z14" i="67"/>
  <c r="X14" i="67"/>
  <c r="T14" i="67"/>
  <c r="P14" i="67"/>
  <c r="H14" i="67"/>
  <c r="D14" i="67"/>
  <c r="B14" i="67"/>
  <c r="Z13" i="67"/>
  <c r="T13" i="67"/>
  <c r="P13" i="67"/>
  <c r="X13" i="67" s="1"/>
  <c r="N13" i="67"/>
  <c r="L13" i="67"/>
  <c r="H13" i="67"/>
  <c r="D13" i="67"/>
  <c r="B13" i="67"/>
  <c r="D6" i="67"/>
  <c r="D4" i="67"/>
  <c r="Z106" i="66"/>
  <c r="X106" i="66"/>
  <c r="N106" i="66"/>
  <c r="L106" i="66"/>
  <c r="T102" i="66"/>
  <c r="P102" i="66"/>
  <c r="X102" i="66" s="1"/>
  <c r="Z102" i="66" s="1"/>
  <c r="N102" i="66"/>
  <c r="L102" i="66"/>
  <c r="H102" i="66"/>
  <c r="D102" i="66"/>
  <c r="B102" i="66"/>
  <c r="T101" i="66"/>
  <c r="Z101" i="66" s="1"/>
  <c r="P101" i="66"/>
  <c r="L101" i="66"/>
  <c r="H101" i="66"/>
  <c r="N101" i="66" s="1"/>
  <c r="D101" i="66"/>
  <c r="B101" i="66"/>
  <c r="T100" i="66"/>
  <c r="P100" i="66"/>
  <c r="X100" i="66" s="1"/>
  <c r="H100" i="66"/>
  <c r="D100" i="66"/>
  <c r="B100" i="66"/>
  <c r="H99" i="66"/>
  <c r="X97" i="66"/>
  <c r="Z97" i="66" s="1"/>
  <c r="N97" i="66"/>
  <c r="L97" i="66"/>
  <c r="B97" i="66"/>
  <c r="Z96" i="66"/>
  <c r="X96" i="66"/>
  <c r="T96" i="66"/>
  <c r="P96" i="66"/>
  <c r="H96" i="66"/>
  <c r="N96" i="66" s="1"/>
  <c r="D96" i="66"/>
  <c r="B96" i="66"/>
  <c r="Z95" i="66"/>
  <c r="X95" i="66"/>
  <c r="L95" i="66"/>
  <c r="N95" i="66" s="1"/>
  <c r="B95" i="66"/>
  <c r="X94" i="66"/>
  <c r="Z94" i="66" s="1"/>
  <c r="N94" i="66"/>
  <c r="L94" i="66"/>
  <c r="B94" i="66"/>
  <c r="T93" i="66"/>
  <c r="P93" i="66"/>
  <c r="X93" i="66" s="1"/>
  <c r="H93" i="66"/>
  <c r="D93" i="66"/>
  <c r="L93" i="66" s="1"/>
  <c r="B93" i="66"/>
  <c r="Z92" i="66"/>
  <c r="X92" i="66"/>
  <c r="N92" i="66"/>
  <c r="L92" i="66"/>
  <c r="B92" i="66"/>
  <c r="Z91" i="66"/>
  <c r="X91" i="66"/>
  <c r="N91" i="66"/>
  <c r="L91" i="66"/>
  <c r="B91" i="66"/>
  <c r="T90" i="66"/>
  <c r="P90" i="66"/>
  <c r="N90" i="66"/>
  <c r="H90" i="66"/>
  <c r="D90" i="66"/>
  <c r="L90" i="66" s="1"/>
  <c r="B90" i="66"/>
  <c r="X89" i="66"/>
  <c r="Z89" i="66" s="1"/>
  <c r="L89" i="66"/>
  <c r="N89" i="66" s="1"/>
  <c r="B89" i="66"/>
  <c r="T88" i="66"/>
  <c r="P88" i="66"/>
  <c r="X88" i="66" s="1"/>
  <c r="Z88" i="66" s="1"/>
  <c r="N88" i="66"/>
  <c r="L88" i="66"/>
  <c r="H88" i="66"/>
  <c r="D88" i="66"/>
  <c r="B88" i="66"/>
  <c r="X87" i="66"/>
  <c r="Z87" i="66" s="1"/>
  <c r="N87" i="66"/>
  <c r="L87" i="66"/>
  <c r="B87" i="66"/>
  <c r="Z86" i="66"/>
  <c r="X86" i="66"/>
  <c r="N86" i="66"/>
  <c r="L86" i="66"/>
  <c r="B86" i="66"/>
  <c r="T85" i="66"/>
  <c r="P85" i="66"/>
  <c r="X85" i="66" s="1"/>
  <c r="Z85" i="66" s="1"/>
  <c r="H85" i="66"/>
  <c r="D85" i="66"/>
  <c r="B85" i="66"/>
  <c r="Z84" i="66"/>
  <c r="X84" i="66"/>
  <c r="N84" i="66"/>
  <c r="L84" i="66"/>
  <c r="B84" i="66"/>
  <c r="T83" i="66"/>
  <c r="P83" i="66"/>
  <c r="H83" i="66"/>
  <c r="D83" i="66"/>
  <c r="L83" i="66" s="1"/>
  <c r="B83" i="66"/>
  <c r="X82" i="66"/>
  <c r="Z82" i="66" s="1"/>
  <c r="N82" i="66"/>
  <c r="L82" i="66"/>
  <c r="B82" i="66"/>
  <c r="T81" i="66"/>
  <c r="P81" i="66"/>
  <c r="X81" i="66" s="1"/>
  <c r="H81" i="66"/>
  <c r="N81" i="66" s="1"/>
  <c r="D81" i="66"/>
  <c r="B81" i="66"/>
  <c r="Z80" i="66"/>
  <c r="X80" i="66"/>
  <c r="N80" i="66"/>
  <c r="L80" i="66"/>
  <c r="B80" i="66"/>
  <c r="T79" i="66"/>
  <c r="P79" i="66"/>
  <c r="L79" i="66"/>
  <c r="N79" i="66" s="1"/>
  <c r="H79" i="66"/>
  <c r="D79" i="66"/>
  <c r="B79" i="66"/>
  <c r="Z78" i="66"/>
  <c r="X78" i="66"/>
  <c r="N78" i="66"/>
  <c r="L78" i="66"/>
  <c r="B78" i="66"/>
  <c r="T77" i="66"/>
  <c r="P77" i="66"/>
  <c r="X77" i="66" s="1"/>
  <c r="H77" i="66"/>
  <c r="D77" i="66"/>
  <c r="B77" i="66"/>
  <c r="Z76" i="66"/>
  <c r="X76" i="66"/>
  <c r="N76" i="66"/>
  <c r="L76" i="66"/>
  <c r="B76" i="66"/>
  <c r="X75" i="66"/>
  <c r="T75" i="66"/>
  <c r="P75" i="66"/>
  <c r="L75" i="66"/>
  <c r="H75" i="66"/>
  <c r="N75" i="66" s="1"/>
  <c r="D75" i="66"/>
  <c r="B75" i="66"/>
  <c r="Z74" i="66"/>
  <c r="X74" i="66"/>
  <c r="N74" i="66"/>
  <c r="L74" i="66"/>
  <c r="B74" i="66"/>
  <c r="X73" i="66"/>
  <c r="T73" i="66"/>
  <c r="Z73" i="66" s="1"/>
  <c r="P73" i="66"/>
  <c r="H73" i="66"/>
  <c r="N73" i="66" s="1"/>
  <c r="D73" i="66"/>
  <c r="L73" i="66" s="1"/>
  <c r="B73" i="66"/>
  <c r="Z72" i="66"/>
  <c r="X72" i="66"/>
  <c r="L72" i="66"/>
  <c r="N72" i="66" s="1"/>
  <c r="B72" i="66"/>
  <c r="T71" i="66"/>
  <c r="P71" i="66"/>
  <c r="X71" i="66" s="1"/>
  <c r="L71" i="66"/>
  <c r="H71" i="66"/>
  <c r="D71" i="66"/>
  <c r="B71" i="66"/>
  <c r="Z70" i="66"/>
  <c r="X70" i="66"/>
  <c r="N70" i="66"/>
  <c r="L70" i="66"/>
  <c r="B70" i="66"/>
  <c r="X69" i="66"/>
  <c r="Z69" i="66" s="1"/>
  <c r="L69" i="66"/>
  <c r="N69" i="66" s="1"/>
  <c r="B69" i="66"/>
  <c r="Z68" i="66"/>
  <c r="X68" i="66"/>
  <c r="N68" i="66"/>
  <c r="L68" i="66"/>
  <c r="B68" i="66"/>
  <c r="X67" i="66"/>
  <c r="Z67" i="66" s="1"/>
  <c r="L67" i="66"/>
  <c r="N67" i="66" s="1"/>
  <c r="B67" i="66"/>
  <c r="Z66" i="66"/>
  <c r="X66" i="66"/>
  <c r="N66" i="66"/>
  <c r="L66" i="66"/>
  <c r="B66" i="66"/>
  <c r="X65" i="66"/>
  <c r="Z65" i="66" s="1"/>
  <c r="L65" i="66"/>
  <c r="N65" i="66" s="1"/>
  <c r="B65" i="66"/>
  <c r="Z64" i="66"/>
  <c r="X64" i="66"/>
  <c r="N64" i="66"/>
  <c r="L64" i="66"/>
  <c r="B64" i="66"/>
  <c r="T63" i="66"/>
  <c r="X63" i="66" s="1"/>
  <c r="P63" i="66"/>
  <c r="H63" i="66"/>
  <c r="D63" i="66"/>
  <c r="L63" i="66" s="1"/>
  <c r="B63" i="66"/>
  <c r="Z62" i="66"/>
  <c r="X62" i="66"/>
  <c r="N62" i="66"/>
  <c r="L62" i="66"/>
  <c r="B62" i="66"/>
  <c r="X61" i="66"/>
  <c r="Z61" i="66" s="1"/>
  <c r="L61" i="66"/>
  <c r="N61" i="66" s="1"/>
  <c r="B61" i="66"/>
  <c r="Z60" i="66"/>
  <c r="X60" i="66"/>
  <c r="L60" i="66"/>
  <c r="N60" i="66" s="1"/>
  <c r="B60" i="66"/>
  <c r="X59" i="66"/>
  <c r="Z59" i="66" s="1"/>
  <c r="N59" i="66"/>
  <c r="L59" i="66"/>
  <c r="B59" i="66"/>
  <c r="X58" i="66"/>
  <c r="Z58" i="66" s="1"/>
  <c r="N58" i="66"/>
  <c r="L58" i="66"/>
  <c r="B58" i="66"/>
  <c r="Z57" i="66"/>
  <c r="X57" i="66"/>
  <c r="L57" i="66"/>
  <c r="N57" i="66" s="1"/>
  <c r="B57" i="66"/>
  <c r="Z56" i="66"/>
  <c r="X56" i="66"/>
  <c r="L56" i="66"/>
  <c r="N56" i="66" s="1"/>
  <c r="B56" i="66"/>
  <c r="Z55" i="66"/>
  <c r="X55" i="66"/>
  <c r="L55" i="66"/>
  <c r="N55" i="66" s="1"/>
  <c r="B55" i="66"/>
  <c r="X54" i="66"/>
  <c r="Z54" i="66" s="1"/>
  <c r="N54" i="66"/>
  <c r="L54" i="66"/>
  <c r="B54" i="66"/>
  <c r="T53" i="66"/>
  <c r="P53" i="66"/>
  <c r="X53" i="66" s="1"/>
  <c r="Z53" i="66" s="1"/>
  <c r="H53" i="66"/>
  <c r="D53" i="66"/>
  <c r="L53" i="66" s="1"/>
  <c r="N53" i="66" s="1"/>
  <c r="B53" i="66"/>
  <c r="X52" i="66"/>
  <c r="T52" i="66"/>
  <c r="Z52" i="66" s="1"/>
  <c r="P52" i="66"/>
  <c r="H52" i="66"/>
  <c r="D52" i="66"/>
  <c r="L52" i="66" s="1"/>
  <c r="Z48" i="66"/>
  <c r="X48" i="66"/>
  <c r="N48" i="66"/>
  <c r="L48" i="66"/>
  <c r="B48" i="66"/>
  <c r="Z47" i="66"/>
  <c r="X47" i="66"/>
  <c r="N47" i="66"/>
  <c r="L47" i="66"/>
  <c r="B47" i="66"/>
  <c r="X46" i="66"/>
  <c r="Z46" i="66" s="1"/>
  <c r="N46" i="66"/>
  <c r="L46" i="66"/>
  <c r="B46" i="66"/>
  <c r="Z45" i="66"/>
  <c r="X45" i="66"/>
  <c r="N45" i="66"/>
  <c r="L45" i="66"/>
  <c r="B45" i="66"/>
  <c r="X44" i="66"/>
  <c r="Z44" i="66" s="1"/>
  <c r="N44" i="66"/>
  <c r="L44" i="66"/>
  <c r="B44" i="66"/>
  <c r="Z43" i="66"/>
  <c r="X43" i="66"/>
  <c r="N43" i="66"/>
  <c r="L43" i="66"/>
  <c r="B43" i="66"/>
  <c r="Z42" i="66"/>
  <c r="X42" i="66"/>
  <c r="N42" i="66"/>
  <c r="L42" i="66"/>
  <c r="B42" i="66"/>
  <c r="X41" i="66"/>
  <c r="Z41" i="66" s="1"/>
  <c r="N41" i="66"/>
  <c r="L41" i="66"/>
  <c r="B41" i="66"/>
  <c r="X40" i="66"/>
  <c r="Z40" i="66" s="1"/>
  <c r="L40" i="66"/>
  <c r="N40" i="66" s="1"/>
  <c r="B40" i="66"/>
  <c r="Z39" i="66"/>
  <c r="X39" i="66"/>
  <c r="N39" i="66"/>
  <c r="L39" i="66"/>
  <c r="B39" i="66"/>
  <c r="X38" i="66"/>
  <c r="Z38" i="66" s="1"/>
  <c r="N38" i="66"/>
  <c r="L38" i="66"/>
  <c r="B38" i="66"/>
  <c r="Z37" i="66"/>
  <c r="X37" i="66"/>
  <c r="L37" i="66"/>
  <c r="N37" i="66" s="1"/>
  <c r="B37" i="66"/>
  <c r="Z36" i="66"/>
  <c r="X36" i="66"/>
  <c r="N36" i="66"/>
  <c r="L36" i="66"/>
  <c r="B36" i="66"/>
  <c r="T35" i="66"/>
  <c r="P35" i="66"/>
  <c r="H35" i="66"/>
  <c r="D35" i="66"/>
  <c r="L35" i="66" s="1"/>
  <c r="N35" i="66" s="1"/>
  <c r="T33" i="66"/>
  <c r="X33" i="66" s="1"/>
  <c r="P33" i="66"/>
  <c r="H33" i="66"/>
  <c r="D33" i="66"/>
  <c r="L33" i="66" s="1"/>
  <c r="N33" i="66" s="1"/>
  <c r="B33" i="66"/>
  <c r="X32" i="66"/>
  <c r="Z32" i="66" s="1"/>
  <c r="T32" i="66"/>
  <c r="P32" i="66"/>
  <c r="H32" i="66"/>
  <c r="D32" i="66"/>
  <c r="B32" i="66"/>
  <c r="Z31" i="66"/>
  <c r="T31" i="66"/>
  <c r="P31" i="66"/>
  <c r="X31" i="66" s="1"/>
  <c r="H31" i="66"/>
  <c r="D31" i="66"/>
  <c r="B31" i="66"/>
  <c r="X30" i="66"/>
  <c r="T30" i="66"/>
  <c r="Z30" i="66" s="1"/>
  <c r="P30" i="66"/>
  <c r="N30" i="66"/>
  <c r="H30" i="66"/>
  <c r="D30" i="66"/>
  <c r="L30" i="66" s="1"/>
  <c r="B30" i="66"/>
  <c r="T29" i="66"/>
  <c r="P29" i="66"/>
  <c r="X29" i="66" s="1"/>
  <c r="Z29" i="66" s="1"/>
  <c r="H29" i="66"/>
  <c r="L29" i="66" s="1"/>
  <c r="D29" i="66"/>
  <c r="B29" i="66"/>
  <c r="T28" i="66"/>
  <c r="P28" i="66"/>
  <c r="L28" i="66"/>
  <c r="N28" i="66" s="1"/>
  <c r="H28" i="66"/>
  <c r="D28" i="66"/>
  <c r="B28" i="66"/>
  <c r="T27" i="66"/>
  <c r="P27" i="66"/>
  <c r="H27" i="66"/>
  <c r="D27" i="66"/>
  <c r="L27" i="66" s="1"/>
  <c r="N27" i="66" s="1"/>
  <c r="B27" i="66"/>
  <c r="Z26" i="66"/>
  <c r="T26" i="66"/>
  <c r="P26" i="66"/>
  <c r="X26" i="66" s="1"/>
  <c r="L26" i="66"/>
  <c r="H26" i="66"/>
  <c r="N26" i="66" s="1"/>
  <c r="D26" i="66"/>
  <c r="B26" i="66"/>
  <c r="Z25" i="66"/>
  <c r="T25" i="66"/>
  <c r="X25" i="66" s="1"/>
  <c r="P25" i="66"/>
  <c r="H25" i="66"/>
  <c r="D25" i="66"/>
  <c r="L25" i="66" s="1"/>
  <c r="N25" i="66" s="1"/>
  <c r="B25" i="66"/>
  <c r="X24" i="66"/>
  <c r="Z24" i="66" s="1"/>
  <c r="T24" i="66"/>
  <c r="P24" i="66"/>
  <c r="H24" i="66"/>
  <c r="D24" i="66"/>
  <c r="L24" i="66" s="1"/>
  <c r="B24" i="66"/>
  <c r="T23" i="66"/>
  <c r="P23" i="66"/>
  <c r="X23" i="66" s="1"/>
  <c r="Z23" i="66" s="1"/>
  <c r="H23" i="66"/>
  <c r="D23" i="66"/>
  <c r="B23" i="66"/>
  <c r="X22" i="66"/>
  <c r="T22" i="66"/>
  <c r="Z22" i="66" s="1"/>
  <c r="P22" i="66"/>
  <c r="H22" i="66"/>
  <c r="D22" i="66"/>
  <c r="L22" i="66" s="1"/>
  <c r="N22" i="66" s="1"/>
  <c r="B22" i="66"/>
  <c r="Z21" i="66"/>
  <c r="T21" i="66"/>
  <c r="P21" i="66"/>
  <c r="X21" i="66" s="1"/>
  <c r="N21" i="66"/>
  <c r="H21" i="66"/>
  <c r="L21" i="66" s="1"/>
  <c r="D21" i="66"/>
  <c r="B21" i="66"/>
  <c r="T20" i="66"/>
  <c r="P20" i="66"/>
  <c r="X20" i="66" s="1"/>
  <c r="L20" i="66"/>
  <c r="N20" i="66" s="1"/>
  <c r="H20" i="66"/>
  <c r="D20" i="66"/>
  <c r="B20" i="66"/>
  <c r="X19" i="66"/>
  <c r="T19" i="66"/>
  <c r="P19" i="66"/>
  <c r="H19" i="66"/>
  <c r="D19" i="66"/>
  <c r="L19" i="66" s="1"/>
  <c r="N19" i="66" s="1"/>
  <c r="B19" i="66"/>
  <c r="X18" i="66"/>
  <c r="Z18" i="66" s="1"/>
  <c r="T18" i="66"/>
  <c r="P18" i="66"/>
  <c r="L18" i="66"/>
  <c r="H18" i="66"/>
  <c r="N18" i="66" s="1"/>
  <c r="D18" i="66"/>
  <c r="B18" i="66"/>
  <c r="T17" i="66"/>
  <c r="X17" i="66" s="1"/>
  <c r="P17" i="66"/>
  <c r="H17" i="66"/>
  <c r="D17" i="66"/>
  <c r="L17" i="66" s="1"/>
  <c r="N17" i="66" s="1"/>
  <c r="B17" i="66"/>
  <c r="X16" i="66"/>
  <c r="Z16" i="66" s="1"/>
  <c r="T16" i="66"/>
  <c r="P16" i="66"/>
  <c r="H16" i="66"/>
  <c r="D16" i="66"/>
  <c r="B16" i="66"/>
  <c r="T15" i="66"/>
  <c r="P15" i="66"/>
  <c r="X15" i="66" s="1"/>
  <c r="Z15" i="66" s="1"/>
  <c r="L15" i="66"/>
  <c r="H15" i="66"/>
  <c r="D15" i="66"/>
  <c r="B15" i="66"/>
  <c r="X14" i="66"/>
  <c r="T14" i="66"/>
  <c r="Z14" i="66" s="1"/>
  <c r="P14" i="66"/>
  <c r="N14" i="66"/>
  <c r="L14" i="66"/>
  <c r="H14" i="66"/>
  <c r="D14" i="66"/>
  <c r="B14" i="66"/>
  <c r="T13" i="66"/>
  <c r="P13" i="66"/>
  <c r="X13" i="66" s="1"/>
  <c r="Z13" i="66" s="1"/>
  <c r="H13" i="66"/>
  <c r="D13" i="66"/>
  <c r="B13" i="66"/>
  <c r="D6" i="66"/>
  <c r="D4" i="66"/>
  <c r="J39" i="65"/>
  <c r="Z34" i="65"/>
  <c r="X34" i="65"/>
  <c r="N34" i="65"/>
  <c r="L34" i="65"/>
  <c r="T32" i="65"/>
  <c r="J32" i="65"/>
  <c r="D32" i="65"/>
  <c r="T30" i="65"/>
  <c r="Z30" i="65" s="1"/>
  <c r="P30" i="65"/>
  <c r="X30" i="65" s="1"/>
  <c r="L30" i="65"/>
  <c r="H30" i="65"/>
  <c r="N30" i="65" s="1"/>
  <c r="D30" i="65"/>
  <c r="X28" i="65"/>
  <c r="Z28" i="65" s="1"/>
  <c r="L28" i="65"/>
  <c r="N28" i="65" s="1"/>
  <c r="B28" i="65"/>
  <c r="Z27" i="65"/>
  <c r="V27" i="65"/>
  <c r="T27" i="65"/>
  <c r="P27" i="65"/>
  <c r="X27" i="65" s="1"/>
  <c r="L27" i="65"/>
  <c r="N27" i="65" s="1"/>
  <c r="J27" i="65"/>
  <c r="H27" i="65"/>
  <c r="F27" i="65"/>
  <c r="D27" i="65"/>
  <c r="B27" i="65"/>
  <c r="Z26" i="65"/>
  <c r="X26" i="65"/>
  <c r="V26" i="65"/>
  <c r="N26" i="65"/>
  <c r="L26" i="65"/>
  <c r="B26" i="65"/>
  <c r="X25" i="65"/>
  <c r="Z25" i="65" s="1"/>
  <c r="V25" i="65"/>
  <c r="N25" i="65"/>
  <c r="L25" i="65"/>
  <c r="J25" i="65"/>
  <c r="B25" i="65"/>
  <c r="T24" i="65"/>
  <c r="P24" i="65"/>
  <c r="J24" i="65"/>
  <c r="H24" i="65"/>
  <c r="D24" i="65"/>
  <c r="B24" i="65"/>
  <c r="Z23" i="65"/>
  <c r="X23" i="65"/>
  <c r="R23" i="65"/>
  <c r="N23" i="65"/>
  <c r="L23" i="65"/>
  <c r="J23" i="65"/>
  <c r="B23" i="65"/>
  <c r="Z22" i="65"/>
  <c r="X22" i="65"/>
  <c r="V22" i="65"/>
  <c r="R22" i="65"/>
  <c r="L22" i="65"/>
  <c r="N22" i="65" s="1"/>
  <c r="B22" i="65"/>
  <c r="X21" i="65"/>
  <c r="Z21" i="65" s="1"/>
  <c r="T21" i="65"/>
  <c r="P21" i="65"/>
  <c r="H21" i="65"/>
  <c r="F21" i="65"/>
  <c r="D21" i="65"/>
  <c r="B21" i="65"/>
  <c r="X20" i="65"/>
  <c r="Z20" i="65" s="1"/>
  <c r="L20" i="65"/>
  <c r="N20" i="65" s="1"/>
  <c r="F20" i="65"/>
  <c r="B20" i="65"/>
  <c r="T19" i="65"/>
  <c r="P19" i="65"/>
  <c r="J19" i="65"/>
  <c r="H19" i="65"/>
  <c r="D19" i="65"/>
  <c r="L19" i="65" s="1"/>
  <c r="N19" i="65" s="1"/>
  <c r="B19" i="65"/>
  <c r="X18" i="65"/>
  <c r="T18" i="65"/>
  <c r="P18" i="65"/>
  <c r="H18" i="65"/>
  <c r="D18" i="65"/>
  <c r="V16" i="65"/>
  <c r="T16" i="65"/>
  <c r="Z16" i="65" s="1"/>
  <c r="J16" i="65"/>
  <c r="F16" i="65"/>
  <c r="D16" i="65"/>
  <c r="X14" i="65"/>
  <c r="T14" i="65"/>
  <c r="Z14" i="65" s="1"/>
  <c r="P14" i="65"/>
  <c r="N14" i="65"/>
  <c r="H14" i="65"/>
  <c r="H16" i="65" s="1"/>
  <c r="N16" i="65" s="1"/>
  <c r="D14" i="65"/>
  <c r="T12" i="65"/>
  <c r="P12" i="65"/>
  <c r="L12" i="65"/>
  <c r="H12" i="65"/>
  <c r="J36" i="65" s="1"/>
  <c r="D12" i="65"/>
  <c r="F23" i="65" s="1"/>
  <c r="D6" i="65"/>
  <c r="D4" i="65"/>
  <c r="X75" i="64"/>
  <c r="Z75" i="64" s="1"/>
  <c r="L75" i="64"/>
  <c r="N75" i="64" s="1"/>
  <c r="T71" i="64"/>
  <c r="Z71" i="64" s="1"/>
  <c r="P71" i="64"/>
  <c r="X71" i="64" s="1"/>
  <c r="L71" i="64"/>
  <c r="H71" i="64"/>
  <c r="N71" i="64" s="1"/>
  <c r="D71" i="64"/>
  <c r="X69" i="64"/>
  <c r="Z69" i="64" s="1"/>
  <c r="L69" i="64"/>
  <c r="N69" i="64" s="1"/>
  <c r="B69" i="64"/>
  <c r="T68" i="64"/>
  <c r="P68" i="64"/>
  <c r="X68" i="64" s="1"/>
  <c r="Z68" i="64" s="1"/>
  <c r="L68" i="64"/>
  <c r="N68" i="64" s="1"/>
  <c r="H68" i="64"/>
  <c r="D68" i="64"/>
  <c r="B68" i="64"/>
  <c r="Z67" i="64"/>
  <c r="X67" i="64"/>
  <c r="L67" i="64"/>
  <c r="N67" i="64" s="1"/>
  <c r="B67" i="64"/>
  <c r="X66" i="64"/>
  <c r="Z66" i="64" s="1"/>
  <c r="N66" i="64"/>
  <c r="L66" i="64"/>
  <c r="B66" i="64"/>
  <c r="X65" i="64"/>
  <c r="Z65" i="64" s="1"/>
  <c r="N65" i="64"/>
  <c r="L65" i="64"/>
  <c r="B65" i="64"/>
  <c r="T64" i="64"/>
  <c r="P64" i="64"/>
  <c r="X64" i="64" s="1"/>
  <c r="Z64" i="64" s="1"/>
  <c r="L64" i="64"/>
  <c r="N64" i="64" s="1"/>
  <c r="H64" i="64"/>
  <c r="D64" i="64"/>
  <c r="B64" i="64"/>
  <c r="Z63" i="64"/>
  <c r="X63" i="64"/>
  <c r="N63" i="64"/>
  <c r="L63" i="64"/>
  <c r="B63" i="64"/>
  <c r="X62" i="64"/>
  <c r="Z62" i="64" s="1"/>
  <c r="N62" i="64"/>
  <c r="L62" i="64"/>
  <c r="B62" i="64"/>
  <c r="T61" i="64"/>
  <c r="X61" i="64" s="1"/>
  <c r="Z61" i="64" s="1"/>
  <c r="P61" i="64"/>
  <c r="H61" i="64"/>
  <c r="D61" i="64"/>
  <c r="B61" i="64"/>
  <c r="Z60" i="64"/>
  <c r="X60" i="64"/>
  <c r="N60" i="64"/>
  <c r="L60" i="64"/>
  <c r="B60" i="64"/>
  <c r="Z59" i="64"/>
  <c r="X59" i="64"/>
  <c r="L59" i="64"/>
  <c r="N59" i="64" s="1"/>
  <c r="B59" i="64"/>
  <c r="X58" i="64"/>
  <c r="Z58" i="64" s="1"/>
  <c r="T58" i="64"/>
  <c r="P58" i="64"/>
  <c r="H58" i="64"/>
  <c r="D58" i="64"/>
  <c r="B58" i="64"/>
  <c r="Z57" i="64"/>
  <c r="X57" i="64"/>
  <c r="N57" i="64"/>
  <c r="L57" i="64"/>
  <c r="B57" i="64"/>
  <c r="T56" i="64"/>
  <c r="P56" i="64"/>
  <c r="N56" i="64"/>
  <c r="H56" i="64"/>
  <c r="D56" i="64"/>
  <c r="L56" i="64" s="1"/>
  <c r="B56" i="64"/>
  <c r="X55" i="64"/>
  <c r="Z55" i="64" s="1"/>
  <c r="N55" i="64"/>
  <c r="L55" i="64"/>
  <c r="B55" i="64"/>
  <c r="T54" i="64"/>
  <c r="P54" i="64"/>
  <c r="X54" i="64" s="1"/>
  <c r="Z54" i="64" s="1"/>
  <c r="N54" i="64"/>
  <c r="H54" i="64"/>
  <c r="D54" i="64"/>
  <c r="L54" i="64" s="1"/>
  <c r="B54" i="64"/>
  <c r="Z53" i="64"/>
  <c r="X53" i="64"/>
  <c r="N53" i="64"/>
  <c r="L53" i="64"/>
  <c r="B53" i="64"/>
  <c r="Z52" i="64"/>
  <c r="T52" i="64"/>
  <c r="P52" i="64"/>
  <c r="X52" i="64" s="1"/>
  <c r="N52" i="64"/>
  <c r="L52" i="64"/>
  <c r="H52" i="64"/>
  <c r="D52" i="64"/>
  <c r="B52" i="64"/>
  <c r="Z51" i="64"/>
  <c r="X51" i="64"/>
  <c r="N51" i="64"/>
  <c r="L51" i="64"/>
  <c r="B51" i="64"/>
  <c r="Z50" i="64"/>
  <c r="X50" i="64"/>
  <c r="N50" i="64"/>
  <c r="L50" i="64"/>
  <c r="B50" i="64"/>
  <c r="X49" i="64"/>
  <c r="T49" i="64"/>
  <c r="Z49" i="64" s="1"/>
  <c r="P49" i="64"/>
  <c r="H49" i="64"/>
  <c r="N49" i="64" s="1"/>
  <c r="D49" i="64"/>
  <c r="B49" i="64"/>
  <c r="X48" i="64"/>
  <c r="Z48" i="64" s="1"/>
  <c r="N48" i="64"/>
  <c r="L48" i="64"/>
  <c r="B48" i="64"/>
  <c r="T47" i="64"/>
  <c r="P47" i="64"/>
  <c r="H47" i="64"/>
  <c r="D47" i="64"/>
  <c r="L47" i="64" s="1"/>
  <c r="N47" i="64" s="1"/>
  <c r="B47" i="64"/>
  <c r="Z46" i="64"/>
  <c r="X46" i="64"/>
  <c r="N46" i="64"/>
  <c r="L46" i="64"/>
  <c r="B46" i="64"/>
  <c r="Z45" i="64"/>
  <c r="T45" i="64"/>
  <c r="P45" i="64"/>
  <c r="X45" i="64" s="1"/>
  <c r="L45" i="64"/>
  <c r="H45" i="64"/>
  <c r="N45" i="64" s="1"/>
  <c r="D45" i="64"/>
  <c r="B45" i="64"/>
  <c r="Z44" i="64"/>
  <c r="X44" i="64"/>
  <c r="L44" i="64"/>
  <c r="N44" i="64" s="1"/>
  <c r="B44" i="64"/>
  <c r="X43" i="64"/>
  <c r="Z43" i="64" s="1"/>
  <c r="N43" i="64"/>
  <c r="L43" i="64"/>
  <c r="B43" i="64"/>
  <c r="T42" i="64"/>
  <c r="P42" i="64"/>
  <c r="H42" i="64"/>
  <c r="D42" i="64"/>
  <c r="L42" i="64" s="1"/>
  <c r="N42" i="64" s="1"/>
  <c r="B42" i="64"/>
  <c r="X41" i="64"/>
  <c r="Z41" i="64" s="1"/>
  <c r="L41" i="64"/>
  <c r="N41" i="64" s="1"/>
  <c r="B41" i="64"/>
  <c r="Z40" i="64"/>
  <c r="X40" i="64"/>
  <c r="L40" i="64"/>
  <c r="N40" i="64" s="1"/>
  <c r="B40" i="64"/>
  <c r="X39" i="64"/>
  <c r="Z39" i="64" s="1"/>
  <c r="N39" i="64"/>
  <c r="L39" i="64"/>
  <c r="B39" i="64"/>
  <c r="Z38" i="64"/>
  <c r="T38" i="64"/>
  <c r="P38" i="64"/>
  <c r="X38" i="64" s="1"/>
  <c r="H38" i="64"/>
  <c r="D38" i="64"/>
  <c r="L38" i="64" s="1"/>
  <c r="N38" i="64" s="1"/>
  <c r="B38" i="64"/>
  <c r="T37" i="64"/>
  <c r="X37" i="64" s="1"/>
  <c r="Z37" i="64" s="1"/>
  <c r="P37" i="64"/>
  <c r="H37" i="64"/>
  <c r="D37" i="64"/>
  <c r="L37" i="64" s="1"/>
  <c r="Z33" i="64"/>
  <c r="X33" i="64"/>
  <c r="N33" i="64"/>
  <c r="L33" i="64"/>
  <c r="B33" i="64"/>
  <c r="Z32" i="64"/>
  <c r="X32" i="64"/>
  <c r="N32" i="64"/>
  <c r="L32" i="64"/>
  <c r="B32" i="64"/>
  <c r="X31" i="64"/>
  <c r="Z31" i="64" s="1"/>
  <c r="N31" i="64"/>
  <c r="L31" i="64"/>
  <c r="B31" i="64"/>
  <c r="Z30" i="64"/>
  <c r="X30" i="64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Z27" i="64"/>
  <c r="X27" i="64"/>
  <c r="N27" i="64"/>
  <c r="L27" i="64"/>
  <c r="B27" i="64"/>
  <c r="Z26" i="64"/>
  <c r="X26" i="64"/>
  <c r="N26" i="64"/>
  <c r="L26" i="64"/>
  <c r="B26" i="64"/>
  <c r="Z25" i="64"/>
  <c r="X25" i="64"/>
  <c r="N25" i="64"/>
  <c r="L25" i="64"/>
  <c r="B25" i="64"/>
  <c r="Z24" i="64"/>
  <c r="X24" i="64"/>
  <c r="N24" i="64"/>
  <c r="L24" i="64"/>
  <c r="B24" i="64"/>
  <c r="T23" i="64"/>
  <c r="P23" i="64"/>
  <c r="H23" i="64"/>
  <c r="D23" i="64"/>
  <c r="L23" i="64" s="1"/>
  <c r="N23" i="64" s="1"/>
  <c r="T21" i="64"/>
  <c r="P21" i="64"/>
  <c r="H21" i="64"/>
  <c r="D21" i="64"/>
  <c r="L21" i="64" s="1"/>
  <c r="B21" i="64"/>
  <c r="X20" i="64"/>
  <c r="T20" i="64"/>
  <c r="P20" i="64"/>
  <c r="N20" i="64"/>
  <c r="H20" i="64"/>
  <c r="D20" i="64"/>
  <c r="L20" i="64" s="1"/>
  <c r="B20" i="64"/>
  <c r="Z19" i="64"/>
  <c r="T19" i="64"/>
  <c r="P19" i="64"/>
  <c r="X19" i="64" s="1"/>
  <c r="L19" i="64"/>
  <c r="H19" i="64"/>
  <c r="N19" i="64" s="1"/>
  <c r="D19" i="64"/>
  <c r="B19" i="64"/>
  <c r="T18" i="64"/>
  <c r="P18" i="64"/>
  <c r="N18" i="64"/>
  <c r="L18" i="64"/>
  <c r="H18" i="64"/>
  <c r="D18" i="64"/>
  <c r="B18" i="64"/>
  <c r="T17" i="64"/>
  <c r="Z17" i="64" s="1"/>
  <c r="P17" i="64"/>
  <c r="X17" i="64" s="1"/>
  <c r="N17" i="64"/>
  <c r="H17" i="64"/>
  <c r="D17" i="64"/>
  <c r="B17" i="64"/>
  <c r="T16" i="64"/>
  <c r="Z16" i="64" s="1"/>
  <c r="P16" i="64"/>
  <c r="X16" i="64" s="1"/>
  <c r="H16" i="64"/>
  <c r="D16" i="64"/>
  <c r="B16" i="64"/>
  <c r="X15" i="64"/>
  <c r="T15" i="64"/>
  <c r="P15" i="64"/>
  <c r="H15" i="64"/>
  <c r="D15" i="64"/>
  <c r="L15" i="64" s="1"/>
  <c r="N15" i="64" s="1"/>
  <c r="B15" i="64"/>
  <c r="T14" i="64"/>
  <c r="P14" i="64"/>
  <c r="X14" i="64" s="1"/>
  <c r="Z14" i="64" s="1"/>
  <c r="H14" i="64"/>
  <c r="D14" i="64"/>
  <c r="B14" i="64"/>
  <c r="T13" i="64"/>
  <c r="P13" i="64"/>
  <c r="H13" i="64"/>
  <c r="D13" i="64"/>
  <c r="B13" i="64"/>
  <c r="D6" i="64"/>
  <c r="D4" i="64"/>
  <c r="Z91" i="62"/>
  <c r="X91" i="62"/>
  <c r="N91" i="62"/>
  <c r="L91" i="62"/>
  <c r="P89" i="62"/>
  <c r="X87" i="62"/>
  <c r="Z87" i="62" s="1"/>
  <c r="T87" i="62"/>
  <c r="P87" i="62"/>
  <c r="H87" i="62"/>
  <c r="D87" i="62"/>
  <c r="B87" i="62"/>
  <c r="T86" i="62"/>
  <c r="R86" i="62"/>
  <c r="P86" i="62"/>
  <c r="X86" i="62" s="1"/>
  <c r="D86" i="62"/>
  <c r="Z84" i="62"/>
  <c r="X84" i="62"/>
  <c r="L84" i="62"/>
  <c r="N84" i="62" s="1"/>
  <c r="B84" i="62"/>
  <c r="T83" i="62"/>
  <c r="P83" i="62"/>
  <c r="X83" i="62" s="1"/>
  <c r="Z83" i="62" s="1"/>
  <c r="L83" i="62"/>
  <c r="N83" i="62" s="1"/>
  <c r="H83" i="62"/>
  <c r="D83" i="62"/>
  <c r="B83" i="62"/>
  <c r="Z82" i="62"/>
  <c r="X82" i="62"/>
  <c r="N82" i="62"/>
  <c r="L82" i="62"/>
  <c r="B82" i="62"/>
  <c r="Z81" i="62"/>
  <c r="X81" i="62"/>
  <c r="N81" i="62"/>
  <c r="L81" i="62"/>
  <c r="B81" i="62"/>
  <c r="Z80" i="62"/>
  <c r="X80" i="62"/>
  <c r="T80" i="62"/>
  <c r="P80" i="62"/>
  <c r="N80" i="62"/>
  <c r="J80" i="62"/>
  <c r="H80" i="62"/>
  <c r="L80" i="62" s="1"/>
  <c r="D80" i="62"/>
  <c r="B80" i="62"/>
  <c r="X79" i="62"/>
  <c r="Z79" i="62" s="1"/>
  <c r="R79" i="62"/>
  <c r="N79" i="62"/>
  <c r="L79" i="62"/>
  <c r="B79" i="62"/>
  <c r="V78" i="62"/>
  <c r="T78" i="62"/>
  <c r="P78" i="62"/>
  <c r="X78" i="62" s="1"/>
  <c r="Z78" i="62" s="1"/>
  <c r="H78" i="62"/>
  <c r="N78" i="62" s="1"/>
  <c r="F78" i="62"/>
  <c r="D78" i="62"/>
  <c r="L78" i="62" s="1"/>
  <c r="B78" i="62"/>
  <c r="Z77" i="62"/>
  <c r="X77" i="62"/>
  <c r="L77" i="62"/>
  <c r="N77" i="62" s="1"/>
  <c r="B77" i="62"/>
  <c r="T76" i="62"/>
  <c r="Z76" i="62" s="1"/>
  <c r="R76" i="62"/>
  <c r="P76" i="62"/>
  <c r="X76" i="62" s="1"/>
  <c r="H76" i="62"/>
  <c r="N76" i="62" s="1"/>
  <c r="D76" i="62"/>
  <c r="L76" i="62" s="1"/>
  <c r="B76" i="62"/>
  <c r="Z75" i="62"/>
  <c r="X75" i="62"/>
  <c r="L75" i="62"/>
  <c r="N75" i="62" s="1"/>
  <c r="F75" i="62"/>
  <c r="B75" i="62"/>
  <c r="Z74" i="62"/>
  <c r="X74" i="62"/>
  <c r="N74" i="62"/>
  <c r="L74" i="62"/>
  <c r="J74" i="62"/>
  <c r="B74" i="62"/>
  <c r="Z73" i="62"/>
  <c r="X73" i="62"/>
  <c r="L73" i="62"/>
  <c r="N73" i="62" s="1"/>
  <c r="B73" i="62"/>
  <c r="Z72" i="62"/>
  <c r="X72" i="62"/>
  <c r="N72" i="62"/>
  <c r="L72" i="62"/>
  <c r="B72" i="62"/>
  <c r="X71" i="62"/>
  <c r="Z71" i="62" s="1"/>
  <c r="R71" i="62"/>
  <c r="N71" i="62"/>
  <c r="L71" i="62"/>
  <c r="B71" i="62"/>
  <c r="V70" i="62"/>
  <c r="T70" i="62"/>
  <c r="P70" i="62"/>
  <c r="X70" i="62" s="1"/>
  <c r="Z70" i="62" s="1"/>
  <c r="H70" i="62"/>
  <c r="N70" i="62" s="1"/>
  <c r="F70" i="62"/>
  <c r="D70" i="62"/>
  <c r="L70" i="62" s="1"/>
  <c r="B70" i="62"/>
  <c r="Z69" i="62"/>
  <c r="X69" i="62"/>
  <c r="N69" i="62"/>
  <c r="L69" i="62"/>
  <c r="B69" i="62"/>
  <c r="X68" i="62"/>
  <c r="Z68" i="62" s="1"/>
  <c r="N68" i="62"/>
  <c r="L68" i="62"/>
  <c r="B68" i="62"/>
  <c r="X67" i="62"/>
  <c r="Z67" i="62" s="1"/>
  <c r="R67" i="62"/>
  <c r="N67" i="62"/>
  <c r="L67" i="62"/>
  <c r="B67" i="62"/>
  <c r="T66" i="62"/>
  <c r="P66" i="62"/>
  <c r="X66" i="62" s="1"/>
  <c r="Z66" i="62" s="1"/>
  <c r="H66" i="62"/>
  <c r="N66" i="62" s="1"/>
  <c r="F66" i="62"/>
  <c r="D66" i="62"/>
  <c r="L66" i="62" s="1"/>
  <c r="B66" i="62"/>
  <c r="Z65" i="62"/>
  <c r="X65" i="62"/>
  <c r="L65" i="62"/>
  <c r="N65" i="62" s="1"/>
  <c r="B65" i="62"/>
  <c r="X64" i="62"/>
  <c r="Z64" i="62" s="1"/>
  <c r="N64" i="62"/>
  <c r="L64" i="62"/>
  <c r="B64" i="62"/>
  <c r="X63" i="62"/>
  <c r="Z63" i="62" s="1"/>
  <c r="R63" i="62"/>
  <c r="N63" i="62"/>
  <c r="L63" i="62"/>
  <c r="B63" i="62"/>
  <c r="Z62" i="62"/>
  <c r="X62" i="62"/>
  <c r="V62" i="62"/>
  <c r="N62" i="62"/>
  <c r="L62" i="62"/>
  <c r="B62" i="62"/>
  <c r="X61" i="62"/>
  <c r="Z61" i="62" s="1"/>
  <c r="T61" i="62"/>
  <c r="P61" i="62"/>
  <c r="H61" i="62"/>
  <c r="D61" i="62"/>
  <c r="B61" i="62"/>
  <c r="X60" i="62"/>
  <c r="Z60" i="62" s="1"/>
  <c r="N60" i="62"/>
  <c r="L60" i="62"/>
  <c r="B60" i="62"/>
  <c r="T59" i="62"/>
  <c r="P59" i="62"/>
  <c r="H59" i="62"/>
  <c r="N59" i="62" s="1"/>
  <c r="D59" i="62"/>
  <c r="L59" i="62" s="1"/>
  <c r="B59" i="62"/>
  <c r="X58" i="62"/>
  <c r="Z58" i="62" s="1"/>
  <c r="N58" i="62"/>
  <c r="L58" i="62"/>
  <c r="J58" i="62"/>
  <c r="B58" i="62"/>
  <c r="T57" i="62"/>
  <c r="Z57" i="62" s="1"/>
  <c r="P57" i="62"/>
  <c r="X57" i="62" s="1"/>
  <c r="H57" i="62"/>
  <c r="D57" i="62"/>
  <c r="L57" i="62" s="1"/>
  <c r="N57" i="62" s="1"/>
  <c r="B57" i="62"/>
  <c r="Z56" i="62"/>
  <c r="X56" i="62"/>
  <c r="N56" i="62"/>
  <c r="L56" i="62"/>
  <c r="J56" i="62"/>
  <c r="B56" i="62"/>
  <c r="T55" i="62"/>
  <c r="P55" i="62"/>
  <c r="X55" i="62" s="1"/>
  <c r="Z55" i="62" s="1"/>
  <c r="L55" i="62"/>
  <c r="N55" i="62" s="1"/>
  <c r="H55" i="62"/>
  <c r="D55" i="62"/>
  <c r="B55" i="62"/>
  <c r="Z54" i="62"/>
  <c r="X54" i="62"/>
  <c r="V54" i="62"/>
  <c r="L54" i="62"/>
  <c r="N54" i="62" s="1"/>
  <c r="B54" i="62"/>
  <c r="X53" i="62"/>
  <c r="Z53" i="62" s="1"/>
  <c r="T53" i="62"/>
  <c r="P53" i="62"/>
  <c r="H53" i="62"/>
  <c r="D53" i="62"/>
  <c r="B53" i="62"/>
  <c r="Z52" i="62"/>
  <c r="X52" i="62"/>
  <c r="N52" i="62"/>
  <c r="L52" i="62"/>
  <c r="B52" i="62"/>
  <c r="T51" i="62"/>
  <c r="P51" i="62"/>
  <c r="H51" i="62"/>
  <c r="N51" i="62" s="1"/>
  <c r="D51" i="62"/>
  <c r="L51" i="62" s="1"/>
  <c r="B51" i="62"/>
  <c r="Z50" i="62"/>
  <c r="X50" i="62"/>
  <c r="N50" i="62"/>
  <c r="L50" i="62"/>
  <c r="J50" i="62"/>
  <c r="B50" i="62"/>
  <c r="T49" i="62"/>
  <c r="Z49" i="62" s="1"/>
  <c r="P49" i="62"/>
  <c r="X49" i="62" s="1"/>
  <c r="N49" i="62"/>
  <c r="H49" i="62"/>
  <c r="D49" i="62"/>
  <c r="L49" i="62" s="1"/>
  <c r="B49" i="62"/>
  <c r="Z48" i="62"/>
  <c r="X48" i="62"/>
  <c r="N48" i="62"/>
  <c r="L48" i="62"/>
  <c r="J48" i="62"/>
  <c r="B48" i="62"/>
  <c r="Z47" i="62"/>
  <c r="T47" i="62"/>
  <c r="P47" i="62"/>
  <c r="X47" i="62" s="1"/>
  <c r="N47" i="62"/>
  <c r="L47" i="62"/>
  <c r="J47" i="62"/>
  <c r="H47" i="62"/>
  <c r="D47" i="62"/>
  <c r="B47" i="62"/>
  <c r="Z46" i="62"/>
  <c r="X46" i="62"/>
  <c r="V46" i="62"/>
  <c r="L46" i="62"/>
  <c r="N46" i="62" s="1"/>
  <c r="B46" i="62"/>
  <c r="X45" i="62"/>
  <c r="Z45" i="62" s="1"/>
  <c r="N45" i="62"/>
  <c r="L45" i="62"/>
  <c r="B45" i="62"/>
  <c r="Z44" i="62"/>
  <c r="X44" i="62"/>
  <c r="T44" i="62"/>
  <c r="P44" i="62"/>
  <c r="J44" i="62"/>
  <c r="H44" i="62"/>
  <c r="D44" i="62"/>
  <c r="L44" i="62" s="1"/>
  <c r="N44" i="62" s="1"/>
  <c r="B44" i="62"/>
  <c r="X43" i="62"/>
  <c r="Z43" i="62" s="1"/>
  <c r="R43" i="62"/>
  <c r="N43" i="62"/>
  <c r="L43" i="62"/>
  <c r="J43" i="62"/>
  <c r="B43" i="62"/>
  <c r="V42" i="62"/>
  <c r="T42" i="62"/>
  <c r="P42" i="62"/>
  <c r="X42" i="62" s="1"/>
  <c r="Z42" i="62" s="1"/>
  <c r="J42" i="62"/>
  <c r="H42" i="62"/>
  <c r="F42" i="62"/>
  <c r="D42" i="62"/>
  <c r="L42" i="62" s="1"/>
  <c r="B42" i="62"/>
  <c r="Z41" i="62"/>
  <c r="X41" i="62"/>
  <c r="L41" i="62"/>
  <c r="N41" i="62" s="1"/>
  <c r="J41" i="62"/>
  <c r="B41" i="62"/>
  <c r="T40" i="62"/>
  <c r="Z40" i="62" s="1"/>
  <c r="R40" i="62"/>
  <c r="P40" i="62"/>
  <c r="X40" i="62" s="1"/>
  <c r="L40" i="62"/>
  <c r="H40" i="62"/>
  <c r="N40" i="62" s="1"/>
  <c r="F40" i="62"/>
  <c r="D40" i="62"/>
  <c r="B40" i="62"/>
  <c r="Z39" i="62"/>
  <c r="X39" i="62"/>
  <c r="N39" i="62"/>
  <c r="L39" i="62"/>
  <c r="J39" i="62"/>
  <c r="F39" i="62"/>
  <c r="B39" i="62"/>
  <c r="X38" i="62"/>
  <c r="T38" i="62"/>
  <c r="Z38" i="62" s="1"/>
  <c r="P38" i="62"/>
  <c r="N38" i="62"/>
  <c r="L38" i="62"/>
  <c r="H38" i="62"/>
  <c r="D38" i="62"/>
  <c r="B38" i="62"/>
  <c r="Z37" i="62"/>
  <c r="X37" i="62"/>
  <c r="N37" i="62"/>
  <c r="L37" i="62"/>
  <c r="F37" i="62"/>
  <c r="B37" i="62"/>
  <c r="Z36" i="62"/>
  <c r="X36" i="62"/>
  <c r="N36" i="62"/>
  <c r="L36" i="62"/>
  <c r="J36" i="62"/>
  <c r="B36" i="62"/>
  <c r="Z35" i="62"/>
  <c r="X35" i="62"/>
  <c r="L35" i="62"/>
  <c r="N35" i="62" s="1"/>
  <c r="J35" i="62"/>
  <c r="F35" i="62"/>
  <c r="B35" i="62"/>
  <c r="X34" i="62"/>
  <c r="Z34" i="62" s="1"/>
  <c r="N34" i="62"/>
  <c r="L34" i="62"/>
  <c r="J34" i="62"/>
  <c r="B34" i="62"/>
  <c r="Z33" i="62"/>
  <c r="X33" i="62"/>
  <c r="N33" i="62"/>
  <c r="L33" i="62"/>
  <c r="J33" i="62"/>
  <c r="B33" i="62"/>
  <c r="Z32" i="62"/>
  <c r="X32" i="62"/>
  <c r="N32" i="62"/>
  <c r="L32" i="62"/>
  <c r="B32" i="62"/>
  <c r="X31" i="62"/>
  <c r="Z31" i="62" s="1"/>
  <c r="R31" i="62"/>
  <c r="N31" i="62"/>
  <c r="L31" i="62"/>
  <c r="J31" i="62"/>
  <c r="B31" i="62"/>
  <c r="T30" i="62"/>
  <c r="P30" i="62"/>
  <c r="X30" i="62" s="1"/>
  <c r="Z30" i="62" s="1"/>
  <c r="J30" i="62"/>
  <c r="H30" i="62"/>
  <c r="N30" i="62" s="1"/>
  <c r="F30" i="62"/>
  <c r="D30" i="62"/>
  <c r="L30" i="62" s="1"/>
  <c r="B30" i="62"/>
  <c r="Z29" i="62"/>
  <c r="X29" i="62"/>
  <c r="L29" i="62"/>
  <c r="N29" i="62" s="1"/>
  <c r="J29" i="62"/>
  <c r="B29" i="62"/>
  <c r="Z28" i="62"/>
  <c r="X28" i="62"/>
  <c r="N28" i="62"/>
  <c r="L28" i="62"/>
  <c r="B28" i="62"/>
  <c r="X27" i="62"/>
  <c r="Z27" i="62" s="1"/>
  <c r="R27" i="62"/>
  <c r="N27" i="62"/>
  <c r="L27" i="62"/>
  <c r="J27" i="62"/>
  <c r="B27" i="62"/>
  <c r="Z26" i="62"/>
  <c r="X26" i="62"/>
  <c r="V26" i="62"/>
  <c r="N26" i="62"/>
  <c r="L26" i="62"/>
  <c r="B26" i="62"/>
  <c r="X25" i="62"/>
  <c r="Z25" i="62" s="1"/>
  <c r="N25" i="62"/>
  <c r="L25" i="62"/>
  <c r="F25" i="62"/>
  <c r="B25" i="62"/>
  <c r="Z24" i="62"/>
  <c r="X24" i="62"/>
  <c r="N24" i="62"/>
  <c r="L24" i="62"/>
  <c r="J24" i="62"/>
  <c r="B24" i="62"/>
  <c r="Z23" i="62"/>
  <c r="X23" i="62"/>
  <c r="L23" i="62"/>
  <c r="N23" i="62" s="1"/>
  <c r="J23" i="62"/>
  <c r="F23" i="62"/>
  <c r="B23" i="62"/>
  <c r="X22" i="62"/>
  <c r="Z22" i="62" s="1"/>
  <c r="N22" i="62"/>
  <c r="L22" i="62"/>
  <c r="J22" i="62"/>
  <c r="F22" i="62"/>
  <c r="B22" i="62"/>
  <c r="Z21" i="62"/>
  <c r="X21" i="62"/>
  <c r="R21" i="62"/>
  <c r="L21" i="62"/>
  <c r="N21" i="62" s="1"/>
  <c r="J21" i="62"/>
  <c r="B21" i="62"/>
  <c r="Z20" i="62"/>
  <c r="X20" i="62"/>
  <c r="N20" i="62"/>
  <c r="L20" i="62"/>
  <c r="F20" i="62"/>
  <c r="B20" i="62"/>
  <c r="T19" i="62"/>
  <c r="P19" i="62"/>
  <c r="H19" i="62"/>
  <c r="D19" i="62"/>
  <c r="L19" i="62" s="1"/>
  <c r="B19" i="62"/>
  <c r="T18" i="62"/>
  <c r="R18" i="62"/>
  <c r="P18" i="62"/>
  <c r="X18" i="62" s="1"/>
  <c r="H18" i="62"/>
  <c r="L18" i="62" s="1"/>
  <c r="N18" i="62" s="1"/>
  <c r="D18" i="62"/>
  <c r="V16" i="62"/>
  <c r="P16" i="62"/>
  <c r="J16" i="62"/>
  <c r="F16" i="62"/>
  <c r="D16" i="62"/>
  <c r="L16" i="62" s="1"/>
  <c r="X14" i="62"/>
  <c r="T14" i="62"/>
  <c r="Z14" i="62" s="1"/>
  <c r="R14" i="62"/>
  <c r="P14" i="62"/>
  <c r="N14" i="62"/>
  <c r="H14" i="62"/>
  <c r="H16" i="62" s="1"/>
  <c r="D14" i="62"/>
  <c r="T12" i="62"/>
  <c r="V66" i="62" s="1"/>
  <c r="P12" i="62"/>
  <c r="R81" i="62" s="1"/>
  <c r="L12" i="62"/>
  <c r="H12" i="62"/>
  <c r="J72" i="62" s="1"/>
  <c r="D12" i="62"/>
  <c r="F91" i="62" s="1"/>
  <c r="D6" i="62"/>
  <c r="D4" i="62"/>
  <c r="J51" i="61"/>
  <c r="R48" i="61"/>
  <c r="Z46" i="61"/>
  <c r="X46" i="61"/>
  <c r="N46" i="61"/>
  <c r="L46" i="61"/>
  <c r="J46" i="61"/>
  <c r="J44" i="61"/>
  <c r="T42" i="61"/>
  <c r="Z42" i="61" s="1"/>
  <c r="R42" i="61"/>
  <c r="P42" i="61"/>
  <c r="X42" i="61" s="1"/>
  <c r="L42" i="61"/>
  <c r="H42" i="61"/>
  <c r="N42" i="61" s="1"/>
  <c r="D42" i="61"/>
  <c r="Z40" i="61"/>
  <c r="X40" i="61"/>
  <c r="L40" i="61"/>
  <c r="N40" i="61" s="1"/>
  <c r="J40" i="61"/>
  <c r="B40" i="61"/>
  <c r="T39" i="61"/>
  <c r="P39" i="61"/>
  <c r="X39" i="61" s="1"/>
  <c r="Z39" i="61" s="1"/>
  <c r="L39" i="61"/>
  <c r="N39" i="61" s="1"/>
  <c r="J39" i="61"/>
  <c r="H39" i="61"/>
  <c r="D39" i="61"/>
  <c r="B39" i="61"/>
  <c r="Z38" i="61"/>
  <c r="X38" i="61"/>
  <c r="V38" i="61"/>
  <c r="N38" i="61"/>
  <c r="L38" i="61"/>
  <c r="B38" i="61"/>
  <c r="Z37" i="61"/>
  <c r="X37" i="61"/>
  <c r="T37" i="61"/>
  <c r="P37" i="61"/>
  <c r="J37" i="61"/>
  <c r="H37" i="61"/>
  <c r="D37" i="61"/>
  <c r="B37" i="61"/>
  <c r="Z36" i="61"/>
  <c r="X36" i="61"/>
  <c r="N36" i="61"/>
  <c r="L36" i="61"/>
  <c r="B36" i="61"/>
  <c r="T35" i="61"/>
  <c r="P35" i="61"/>
  <c r="H35" i="61"/>
  <c r="N35" i="61" s="1"/>
  <c r="D35" i="61"/>
  <c r="L35" i="61" s="1"/>
  <c r="B35" i="61"/>
  <c r="X34" i="61"/>
  <c r="Z34" i="61" s="1"/>
  <c r="N34" i="61"/>
  <c r="L34" i="61"/>
  <c r="J34" i="61"/>
  <c r="B34" i="61"/>
  <c r="T33" i="61"/>
  <c r="P33" i="61"/>
  <c r="X33" i="61" s="1"/>
  <c r="J33" i="61"/>
  <c r="H33" i="61"/>
  <c r="D33" i="61"/>
  <c r="L33" i="61" s="1"/>
  <c r="N33" i="61" s="1"/>
  <c r="B33" i="61"/>
  <c r="Z32" i="61"/>
  <c r="X32" i="61"/>
  <c r="L32" i="61"/>
  <c r="N32" i="61" s="1"/>
  <c r="J32" i="61"/>
  <c r="B32" i="61"/>
  <c r="T31" i="61"/>
  <c r="P31" i="61"/>
  <c r="X31" i="61" s="1"/>
  <c r="Z31" i="61" s="1"/>
  <c r="L31" i="61"/>
  <c r="N31" i="61" s="1"/>
  <c r="J31" i="61"/>
  <c r="H31" i="61"/>
  <c r="F31" i="61"/>
  <c r="D31" i="61"/>
  <c r="B31" i="61"/>
  <c r="Z30" i="61"/>
  <c r="X30" i="61"/>
  <c r="V30" i="61"/>
  <c r="L30" i="61"/>
  <c r="N30" i="61" s="1"/>
  <c r="B30" i="61"/>
  <c r="X29" i="61"/>
  <c r="Z29" i="61" s="1"/>
  <c r="N29" i="61"/>
  <c r="L29" i="61"/>
  <c r="J29" i="61"/>
  <c r="F29" i="61"/>
  <c r="B29" i="61"/>
  <c r="Z28" i="61"/>
  <c r="X28" i="61"/>
  <c r="R28" i="61"/>
  <c r="L28" i="61"/>
  <c r="N28" i="61" s="1"/>
  <c r="J28" i="61"/>
  <c r="B28" i="61"/>
  <c r="T27" i="61"/>
  <c r="P27" i="61"/>
  <c r="X27" i="61" s="1"/>
  <c r="Z27" i="61" s="1"/>
  <c r="L27" i="61"/>
  <c r="N27" i="61" s="1"/>
  <c r="J27" i="61"/>
  <c r="H27" i="61"/>
  <c r="F27" i="61"/>
  <c r="D27" i="61"/>
  <c r="B27" i="61"/>
  <c r="Z26" i="61"/>
  <c r="X26" i="61"/>
  <c r="N26" i="61"/>
  <c r="L26" i="61"/>
  <c r="B26" i="61"/>
  <c r="X25" i="61"/>
  <c r="Z25" i="61" s="1"/>
  <c r="N25" i="61"/>
  <c r="L25" i="61"/>
  <c r="J25" i="61"/>
  <c r="F25" i="61"/>
  <c r="B25" i="61"/>
  <c r="Z24" i="61"/>
  <c r="X24" i="61"/>
  <c r="R24" i="61"/>
  <c r="L24" i="61"/>
  <c r="N24" i="61" s="1"/>
  <c r="J24" i="61"/>
  <c r="F24" i="61"/>
  <c r="B24" i="61"/>
  <c r="Z23" i="61"/>
  <c r="X23" i="61"/>
  <c r="L23" i="61"/>
  <c r="N23" i="61" s="1"/>
  <c r="J23" i="61"/>
  <c r="F23" i="61"/>
  <c r="B23" i="61"/>
  <c r="X22" i="61"/>
  <c r="Z22" i="61" s="1"/>
  <c r="N22" i="61"/>
  <c r="L22" i="61"/>
  <c r="J22" i="61"/>
  <c r="B22" i="61"/>
  <c r="Z21" i="61"/>
  <c r="X21" i="61"/>
  <c r="R21" i="61"/>
  <c r="L21" i="61"/>
  <c r="N21" i="61" s="1"/>
  <c r="J21" i="61"/>
  <c r="B21" i="61"/>
  <c r="X20" i="61"/>
  <c r="Z20" i="61" s="1"/>
  <c r="N20" i="61"/>
  <c r="L20" i="61"/>
  <c r="F20" i="61"/>
  <c r="B20" i="61"/>
  <c r="T19" i="61"/>
  <c r="X19" i="61" s="1"/>
  <c r="P19" i="61"/>
  <c r="J19" i="61"/>
  <c r="H19" i="61"/>
  <c r="F19" i="61"/>
  <c r="D19" i="61"/>
  <c r="L19" i="61" s="1"/>
  <c r="N19" i="61" s="1"/>
  <c r="B19" i="61"/>
  <c r="X18" i="61"/>
  <c r="T18" i="61"/>
  <c r="R18" i="61"/>
  <c r="P18" i="61"/>
  <c r="H18" i="61"/>
  <c r="D18" i="61"/>
  <c r="P16" i="61"/>
  <c r="J16" i="61"/>
  <c r="F16" i="61"/>
  <c r="D16" i="61"/>
  <c r="D44" i="61" s="1"/>
  <c r="X14" i="61"/>
  <c r="T14" i="61"/>
  <c r="Z14" i="61" s="1"/>
  <c r="R14" i="61"/>
  <c r="P14" i="61"/>
  <c r="H14" i="61"/>
  <c r="D14" i="61"/>
  <c r="T12" i="61"/>
  <c r="P12" i="61"/>
  <c r="R29" i="61" s="1"/>
  <c r="L12" i="61"/>
  <c r="H12" i="61"/>
  <c r="J36" i="61" s="1"/>
  <c r="D12" i="61"/>
  <c r="F51" i="61" s="1"/>
  <c r="D6" i="61"/>
  <c r="D4" i="61"/>
  <c r="V46" i="60"/>
  <c r="F46" i="60"/>
  <c r="Z44" i="60"/>
  <c r="X44" i="60"/>
  <c r="R44" i="60"/>
  <c r="N44" i="60"/>
  <c r="L44" i="60"/>
  <c r="F44" i="60"/>
  <c r="V40" i="60"/>
  <c r="T40" i="60"/>
  <c r="Z40" i="60" s="1"/>
  <c r="P40" i="60"/>
  <c r="L40" i="60"/>
  <c r="H40" i="60"/>
  <c r="N40" i="60" s="1"/>
  <c r="F40" i="60"/>
  <c r="D40" i="60"/>
  <c r="Z38" i="60"/>
  <c r="X38" i="60"/>
  <c r="L38" i="60"/>
  <c r="N38" i="60" s="1"/>
  <c r="F38" i="60"/>
  <c r="B38" i="60"/>
  <c r="V37" i="60"/>
  <c r="T37" i="60"/>
  <c r="P37" i="60"/>
  <c r="X37" i="60" s="1"/>
  <c r="Z37" i="60" s="1"/>
  <c r="L37" i="60"/>
  <c r="N37" i="60" s="1"/>
  <c r="H37" i="60"/>
  <c r="F37" i="60"/>
  <c r="D37" i="60"/>
  <c r="B37" i="60"/>
  <c r="Z36" i="60"/>
  <c r="X36" i="60"/>
  <c r="V36" i="60"/>
  <c r="N36" i="60"/>
  <c r="L36" i="60"/>
  <c r="B36" i="60"/>
  <c r="Z35" i="60"/>
  <c r="X35" i="60"/>
  <c r="V35" i="60"/>
  <c r="T35" i="60"/>
  <c r="P35" i="60"/>
  <c r="L35" i="60"/>
  <c r="H35" i="60"/>
  <c r="N35" i="60" s="1"/>
  <c r="F35" i="60"/>
  <c r="D35" i="60"/>
  <c r="B35" i="60"/>
  <c r="X34" i="60"/>
  <c r="Z34" i="60" s="1"/>
  <c r="V34" i="60"/>
  <c r="R34" i="60"/>
  <c r="N34" i="60"/>
  <c r="L34" i="60"/>
  <c r="F34" i="60"/>
  <c r="B34" i="60"/>
  <c r="X33" i="60"/>
  <c r="Z33" i="60" s="1"/>
  <c r="V33" i="60"/>
  <c r="R33" i="60"/>
  <c r="N33" i="60"/>
  <c r="L33" i="60"/>
  <c r="B33" i="60"/>
  <c r="V32" i="60"/>
  <c r="T32" i="60"/>
  <c r="P32" i="60"/>
  <c r="X32" i="60" s="1"/>
  <c r="H32" i="60"/>
  <c r="D32" i="60"/>
  <c r="B32" i="60"/>
  <c r="Z31" i="60"/>
  <c r="X31" i="60"/>
  <c r="V31" i="60"/>
  <c r="R31" i="60"/>
  <c r="N31" i="60"/>
  <c r="L31" i="60"/>
  <c r="B31" i="60"/>
  <c r="V30" i="60"/>
  <c r="T30" i="60"/>
  <c r="R30" i="60"/>
  <c r="P30" i="60"/>
  <c r="X30" i="60" s="1"/>
  <c r="H30" i="60"/>
  <c r="D30" i="60"/>
  <c r="L30" i="60" s="1"/>
  <c r="B30" i="60"/>
  <c r="Z29" i="60"/>
  <c r="X29" i="60"/>
  <c r="V29" i="60"/>
  <c r="L29" i="60"/>
  <c r="N29" i="60" s="1"/>
  <c r="F29" i="60"/>
  <c r="B29" i="60"/>
  <c r="T28" i="60"/>
  <c r="R28" i="60"/>
  <c r="P28" i="60"/>
  <c r="H28" i="60"/>
  <c r="D28" i="60"/>
  <c r="L28" i="60" s="1"/>
  <c r="N28" i="60" s="1"/>
  <c r="B28" i="60"/>
  <c r="X27" i="60"/>
  <c r="Z27" i="60" s="1"/>
  <c r="V27" i="60"/>
  <c r="N27" i="60"/>
  <c r="L27" i="60"/>
  <c r="F27" i="60"/>
  <c r="B27" i="60"/>
  <c r="X26" i="60"/>
  <c r="Z26" i="60" s="1"/>
  <c r="L26" i="60"/>
  <c r="N26" i="60" s="1"/>
  <c r="F26" i="60"/>
  <c r="B26" i="60"/>
  <c r="Z25" i="60"/>
  <c r="X25" i="60"/>
  <c r="V25" i="60"/>
  <c r="L25" i="60"/>
  <c r="N25" i="60" s="1"/>
  <c r="F25" i="60"/>
  <c r="B25" i="60"/>
  <c r="X24" i="60"/>
  <c r="Z24" i="60" s="1"/>
  <c r="R24" i="60"/>
  <c r="N24" i="60"/>
  <c r="L24" i="60"/>
  <c r="B24" i="60"/>
  <c r="Z23" i="60"/>
  <c r="X23" i="60"/>
  <c r="V23" i="60"/>
  <c r="R23" i="60"/>
  <c r="L23" i="60"/>
  <c r="N23" i="60" s="1"/>
  <c r="B23" i="60"/>
  <c r="X22" i="60"/>
  <c r="Z22" i="60" s="1"/>
  <c r="V22" i="60"/>
  <c r="R22" i="60"/>
  <c r="N22" i="60"/>
  <c r="L22" i="60"/>
  <c r="F22" i="60"/>
  <c r="B22" i="60"/>
  <c r="X21" i="60"/>
  <c r="Z21" i="60" s="1"/>
  <c r="V21" i="60"/>
  <c r="R21" i="60"/>
  <c r="N21" i="60"/>
  <c r="L21" i="60"/>
  <c r="B21" i="60"/>
  <c r="X20" i="60"/>
  <c r="Z20" i="60" s="1"/>
  <c r="V20" i="60"/>
  <c r="R20" i="60"/>
  <c r="L20" i="60"/>
  <c r="N20" i="60" s="1"/>
  <c r="B20" i="60"/>
  <c r="X19" i="60"/>
  <c r="Z19" i="60" s="1"/>
  <c r="V19" i="60"/>
  <c r="T19" i="60"/>
  <c r="R19" i="60"/>
  <c r="P19" i="60"/>
  <c r="L19" i="60"/>
  <c r="H19" i="60"/>
  <c r="N19" i="60" s="1"/>
  <c r="F19" i="60"/>
  <c r="D19" i="60"/>
  <c r="B19" i="60"/>
  <c r="X18" i="60"/>
  <c r="V18" i="60"/>
  <c r="T18" i="60"/>
  <c r="P18" i="60"/>
  <c r="H18" i="60"/>
  <c r="F18" i="60"/>
  <c r="D18" i="60"/>
  <c r="L18" i="60" s="1"/>
  <c r="P16" i="60"/>
  <c r="P42" i="60" s="1"/>
  <c r="J16" i="60"/>
  <c r="X14" i="60"/>
  <c r="V14" i="60"/>
  <c r="T14" i="60"/>
  <c r="Z14" i="60" s="1"/>
  <c r="R14" i="60"/>
  <c r="P14" i="60"/>
  <c r="L14" i="60"/>
  <c r="H14" i="60"/>
  <c r="N14" i="60" s="1"/>
  <c r="D14" i="60"/>
  <c r="Z12" i="60"/>
  <c r="X12" i="60"/>
  <c r="T12" i="60"/>
  <c r="V49" i="60" s="1"/>
  <c r="P12" i="60"/>
  <c r="R40" i="60" s="1"/>
  <c r="H12" i="60"/>
  <c r="D12" i="60"/>
  <c r="D6" i="60"/>
  <c r="D4" i="60"/>
  <c r="R53" i="59"/>
  <c r="Z51" i="59"/>
  <c r="X51" i="59"/>
  <c r="N51" i="59"/>
  <c r="L51" i="59"/>
  <c r="F51" i="59"/>
  <c r="J49" i="59"/>
  <c r="T47" i="59"/>
  <c r="Z47" i="59" s="1"/>
  <c r="R47" i="59"/>
  <c r="P47" i="59"/>
  <c r="H47" i="59"/>
  <c r="N47" i="59" s="1"/>
  <c r="D47" i="59"/>
  <c r="Z45" i="59"/>
  <c r="X45" i="59"/>
  <c r="L45" i="59"/>
  <c r="N45" i="59" s="1"/>
  <c r="F45" i="59"/>
  <c r="B45" i="59"/>
  <c r="X44" i="59"/>
  <c r="Z44" i="59" s="1"/>
  <c r="N44" i="59"/>
  <c r="L44" i="59"/>
  <c r="J44" i="59"/>
  <c r="F44" i="59"/>
  <c r="B44" i="59"/>
  <c r="T43" i="59"/>
  <c r="P43" i="59"/>
  <c r="X43" i="59" s="1"/>
  <c r="N43" i="59"/>
  <c r="J43" i="59"/>
  <c r="H43" i="59"/>
  <c r="D43" i="59"/>
  <c r="L43" i="59" s="1"/>
  <c r="B43" i="59"/>
  <c r="X42" i="59"/>
  <c r="Z42" i="59" s="1"/>
  <c r="R42" i="59"/>
  <c r="L42" i="59"/>
  <c r="N42" i="59" s="1"/>
  <c r="J42" i="59"/>
  <c r="B42" i="59"/>
  <c r="T41" i="59"/>
  <c r="R41" i="59"/>
  <c r="P41" i="59"/>
  <c r="X41" i="59" s="1"/>
  <c r="Z41" i="59" s="1"/>
  <c r="L41" i="59"/>
  <c r="N41" i="59" s="1"/>
  <c r="J41" i="59"/>
  <c r="H41" i="59"/>
  <c r="D41" i="59"/>
  <c r="B41" i="59"/>
  <c r="Z40" i="59"/>
  <c r="X40" i="59"/>
  <c r="V40" i="59"/>
  <c r="R40" i="59"/>
  <c r="N40" i="59"/>
  <c r="L40" i="59"/>
  <c r="B40" i="59"/>
  <c r="X39" i="59"/>
  <c r="Z39" i="59" s="1"/>
  <c r="N39" i="59"/>
  <c r="L39" i="59"/>
  <c r="J39" i="59"/>
  <c r="F39" i="59"/>
  <c r="B39" i="59"/>
  <c r="Z38" i="59"/>
  <c r="X38" i="59"/>
  <c r="R38" i="59"/>
  <c r="N38" i="59"/>
  <c r="L38" i="59"/>
  <c r="J38" i="59"/>
  <c r="B38" i="59"/>
  <c r="Z37" i="59"/>
  <c r="T37" i="59"/>
  <c r="R37" i="59"/>
  <c r="P37" i="59"/>
  <c r="X37" i="59" s="1"/>
  <c r="L37" i="59"/>
  <c r="N37" i="59" s="1"/>
  <c r="J37" i="59"/>
  <c r="H37" i="59"/>
  <c r="D37" i="59"/>
  <c r="B37" i="59"/>
  <c r="Z36" i="59"/>
  <c r="X36" i="59"/>
  <c r="R36" i="59"/>
  <c r="L36" i="59"/>
  <c r="N36" i="59" s="1"/>
  <c r="B36" i="59"/>
  <c r="X35" i="59"/>
  <c r="Z35" i="59" s="1"/>
  <c r="V35" i="59"/>
  <c r="T35" i="59"/>
  <c r="R35" i="59"/>
  <c r="P35" i="59"/>
  <c r="H35" i="59"/>
  <c r="F35" i="59"/>
  <c r="D35" i="59"/>
  <c r="B35" i="59"/>
  <c r="X34" i="59"/>
  <c r="Z34" i="59" s="1"/>
  <c r="V34" i="59"/>
  <c r="N34" i="59"/>
  <c r="L34" i="59"/>
  <c r="B34" i="59"/>
  <c r="T33" i="59"/>
  <c r="R33" i="59"/>
  <c r="P33" i="59"/>
  <c r="J33" i="59"/>
  <c r="H33" i="59"/>
  <c r="D33" i="59"/>
  <c r="B33" i="59"/>
  <c r="Z32" i="59"/>
  <c r="X32" i="59"/>
  <c r="R32" i="59"/>
  <c r="N32" i="59"/>
  <c r="L32" i="59"/>
  <c r="J32" i="59"/>
  <c r="F32" i="59"/>
  <c r="B32" i="59"/>
  <c r="Z31" i="59"/>
  <c r="X31" i="59"/>
  <c r="R31" i="59"/>
  <c r="L31" i="59"/>
  <c r="N31" i="59" s="1"/>
  <c r="J31" i="59"/>
  <c r="B31" i="59"/>
  <c r="X30" i="59"/>
  <c r="Z30" i="59" s="1"/>
  <c r="V30" i="59"/>
  <c r="L30" i="59"/>
  <c r="N30" i="59" s="1"/>
  <c r="B30" i="59"/>
  <c r="X29" i="59"/>
  <c r="T29" i="59"/>
  <c r="R29" i="59"/>
  <c r="P29" i="59"/>
  <c r="J29" i="59"/>
  <c r="H29" i="59"/>
  <c r="D29" i="59"/>
  <c r="L29" i="59" s="1"/>
  <c r="B29" i="59"/>
  <c r="X28" i="59"/>
  <c r="Z28" i="59" s="1"/>
  <c r="R28" i="59"/>
  <c r="N28" i="59"/>
  <c r="L28" i="59"/>
  <c r="J28" i="59"/>
  <c r="F28" i="59"/>
  <c r="B28" i="59"/>
  <c r="Z27" i="59"/>
  <c r="X27" i="59"/>
  <c r="R27" i="59"/>
  <c r="L27" i="59"/>
  <c r="N27" i="59" s="1"/>
  <c r="J27" i="59"/>
  <c r="B27" i="59"/>
  <c r="X26" i="59"/>
  <c r="Z26" i="59" s="1"/>
  <c r="V26" i="59"/>
  <c r="N26" i="59"/>
  <c r="L26" i="59"/>
  <c r="B26" i="59"/>
  <c r="X25" i="59"/>
  <c r="Z25" i="59" s="1"/>
  <c r="R25" i="59"/>
  <c r="N25" i="59"/>
  <c r="L25" i="59"/>
  <c r="J25" i="59"/>
  <c r="B25" i="59"/>
  <c r="Z24" i="59"/>
  <c r="X24" i="59"/>
  <c r="V24" i="59"/>
  <c r="R24" i="59"/>
  <c r="L24" i="59"/>
  <c r="N24" i="59" s="1"/>
  <c r="B24" i="59"/>
  <c r="X23" i="59"/>
  <c r="Z23" i="59" s="1"/>
  <c r="V23" i="59"/>
  <c r="N23" i="59"/>
  <c r="L23" i="59"/>
  <c r="J23" i="59"/>
  <c r="F23" i="59"/>
  <c r="B23" i="59"/>
  <c r="X22" i="59"/>
  <c r="Z22" i="59" s="1"/>
  <c r="R22" i="59"/>
  <c r="L22" i="59"/>
  <c r="N22" i="59" s="1"/>
  <c r="J22" i="59"/>
  <c r="B22" i="59"/>
  <c r="Z21" i="59"/>
  <c r="X21" i="59"/>
  <c r="L21" i="59"/>
  <c r="N21" i="59" s="1"/>
  <c r="F21" i="59"/>
  <c r="B21" i="59"/>
  <c r="X20" i="59"/>
  <c r="Z20" i="59" s="1"/>
  <c r="R20" i="59"/>
  <c r="N20" i="59"/>
  <c r="L20" i="59"/>
  <c r="J20" i="59"/>
  <c r="F20" i="59"/>
  <c r="B20" i="59"/>
  <c r="T19" i="59"/>
  <c r="P19" i="59"/>
  <c r="J19" i="59"/>
  <c r="H19" i="59"/>
  <c r="D19" i="59"/>
  <c r="L19" i="59" s="1"/>
  <c r="N19" i="59" s="1"/>
  <c r="B19" i="59"/>
  <c r="X18" i="59"/>
  <c r="Z18" i="59" s="1"/>
  <c r="T18" i="59"/>
  <c r="P18" i="59"/>
  <c r="J18" i="59"/>
  <c r="H18" i="59"/>
  <c r="N18" i="59" s="1"/>
  <c r="D18" i="59"/>
  <c r="L18" i="59" s="1"/>
  <c r="V16" i="59"/>
  <c r="R16" i="59"/>
  <c r="P16" i="59"/>
  <c r="F16" i="59"/>
  <c r="Z14" i="59"/>
  <c r="X14" i="59"/>
  <c r="T14" i="59"/>
  <c r="R14" i="59"/>
  <c r="P14" i="59"/>
  <c r="N14" i="59"/>
  <c r="J14" i="59"/>
  <c r="H14" i="59"/>
  <c r="H16" i="59" s="1"/>
  <c r="D14" i="59"/>
  <c r="T12" i="59"/>
  <c r="P12" i="59"/>
  <c r="R51" i="59" s="1"/>
  <c r="N12" i="59"/>
  <c r="L12" i="59"/>
  <c r="H12" i="59"/>
  <c r="J56" i="59" s="1"/>
  <c r="D12" i="59"/>
  <c r="F56" i="59" s="1"/>
  <c r="D6" i="59"/>
  <c r="D4" i="59"/>
  <c r="V67" i="58"/>
  <c r="J67" i="58"/>
  <c r="F67" i="58"/>
  <c r="R64" i="58"/>
  <c r="Z62" i="58"/>
  <c r="X62" i="58"/>
  <c r="V62" i="58"/>
  <c r="R62" i="58"/>
  <c r="N62" i="58"/>
  <c r="L62" i="58"/>
  <c r="J60" i="58"/>
  <c r="F60" i="58"/>
  <c r="X58" i="58"/>
  <c r="T58" i="58"/>
  <c r="Z58" i="58" s="1"/>
  <c r="R58" i="58"/>
  <c r="P58" i="58"/>
  <c r="N58" i="58"/>
  <c r="L58" i="58"/>
  <c r="H58" i="58"/>
  <c r="D58" i="58"/>
  <c r="Z56" i="58"/>
  <c r="X56" i="58"/>
  <c r="R56" i="58"/>
  <c r="L56" i="58"/>
  <c r="N56" i="58" s="1"/>
  <c r="B56" i="58"/>
  <c r="X55" i="58"/>
  <c r="V55" i="58"/>
  <c r="T55" i="58"/>
  <c r="R55" i="58"/>
  <c r="P55" i="58"/>
  <c r="H55" i="58"/>
  <c r="F55" i="58"/>
  <c r="D55" i="58"/>
  <c r="B55" i="58"/>
  <c r="Z54" i="58"/>
  <c r="X54" i="58"/>
  <c r="N54" i="58"/>
  <c r="L54" i="58"/>
  <c r="B54" i="58"/>
  <c r="X53" i="58"/>
  <c r="Z53" i="58" s="1"/>
  <c r="R53" i="58"/>
  <c r="N53" i="58"/>
  <c r="L53" i="58"/>
  <c r="J53" i="58"/>
  <c r="B53" i="58"/>
  <c r="Z52" i="58"/>
  <c r="X52" i="58"/>
  <c r="V52" i="58"/>
  <c r="R52" i="58"/>
  <c r="L52" i="58"/>
  <c r="N52" i="58" s="1"/>
  <c r="B52" i="58"/>
  <c r="X51" i="58"/>
  <c r="Z51" i="58" s="1"/>
  <c r="N51" i="58"/>
  <c r="L51" i="58"/>
  <c r="F51" i="58"/>
  <c r="B51" i="58"/>
  <c r="Z50" i="58"/>
  <c r="X50" i="58"/>
  <c r="T50" i="58"/>
  <c r="P50" i="58"/>
  <c r="J50" i="58"/>
  <c r="H50" i="58"/>
  <c r="D50" i="58"/>
  <c r="B50" i="58"/>
  <c r="Z49" i="58"/>
  <c r="X49" i="58"/>
  <c r="R49" i="58"/>
  <c r="N49" i="58"/>
  <c r="L49" i="58"/>
  <c r="J49" i="58"/>
  <c r="B49" i="58"/>
  <c r="Z48" i="58"/>
  <c r="T48" i="58"/>
  <c r="P48" i="58"/>
  <c r="N48" i="58"/>
  <c r="J48" i="58"/>
  <c r="H48" i="58"/>
  <c r="F48" i="58"/>
  <c r="D48" i="58"/>
  <c r="L48" i="58" s="1"/>
  <c r="B48" i="58"/>
  <c r="Z47" i="58"/>
  <c r="X47" i="58"/>
  <c r="R47" i="58"/>
  <c r="N47" i="58"/>
  <c r="L47" i="58"/>
  <c r="J47" i="58"/>
  <c r="B47" i="58"/>
  <c r="X46" i="58"/>
  <c r="Z46" i="58" s="1"/>
  <c r="L46" i="58"/>
  <c r="N46" i="58" s="1"/>
  <c r="B46" i="58"/>
  <c r="X45" i="58"/>
  <c r="T45" i="58"/>
  <c r="R45" i="58"/>
  <c r="P45" i="58"/>
  <c r="H45" i="58"/>
  <c r="D45" i="58"/>
  <c r="B45" i="58"/>
  <c r="X44" i="58"/>
  <c r="Z44" i="58" s="1"/>
  <c r="N44" i="58"/>
  <c r="L44" i="58"/>
  <c r="J44" i="58"/>
  <c r="B44" i="58"/>
  <c r="Z43" i="58"/>
  <c r="X43" i="58"/>
  <c r="R43" i="58"/>
  <c r="N43" i="58"/>
  <c r="L43" i="58"/>
  <c r="J43" i="58"/>
  <c r="B43" i="58"/>
  <c r="T42" i="58"/>
  <c r="R42" i="58"/>
  <c r="P42" i="58"/>
  <c r="X42" i="58" s="1"/>
  <c r="Z42" i="58" s="1"/>
  <c r="L42" i="58"/>
  <c r="H42" i="58"/>
  <c r="N42" i="58" s="1"/>
  <c r="D42" i="58"/>
  <c r="B42" i="58"/>
  <c r="Z41" i="58"/>
  <c r="X41" i="58"/>
  <c r="L41" i="58"/>
  <c r="N41" i="58" s="1"/>
  <c r="F41" i="58"/>
  <c r="B41" i="58"/>
  <c r="X40" i="58"/>
  <c r="T40" i="58"/>
  <c r="Z40" i="58" s="1"/>
  <c r="R40" i="58"/>
  <c r="P40" i="58"/>
  <c r="L40" i="58"/>
  <c r="N40" i="58" s="1"/>
  <c r="H40" i="58"/>
  <c r="D40" i="58"/>
  <c r="B40" i="58"/>
  <c r="X39" i="58"/>
  <c r="Z39" i="58" s="1"/>
  <c r="N39" i="58"/>
  <c r="L39" i="58"/>
  <c r="J39" i="58"/>
  <c r="F39" i="58"/>
  <c r="B39" i="58"/>
  <c r="Z38" i="58"/>
  <c r="X38" i="58"/>
  <c r="T38" i="58"/>
  <c r="P38" i="58"/>
  <c r="J38" i="58"/>
  <c r="H38" i="58"/>
  <c r="D38" i="58"/>
  <c r="L38" i="58" s="1"/>
  <c r="B38" i="58"/>
  <c r="X37" i="58"/>
  <c r="Z37" i="58" s="1"/>
  <c r="R37" i="58"/>
  <c r="N37" i="58"/>
  <c r="L37" i="58"/>
  <c r="J37" i="58"/>
  <c r="B37" i="58"/>
  <c r="T36" i="58"/>
  <c r="P36" i="58"/>
  <c r="J36" i="58"/>
  <c r="H36" i="58"/>
  <c r="F36" i="58"/>
  <c r="D36" i="58"/>
  <c r="L36" i="58" s="1"/>
  <c r="N36" i="58" s="1"/>
  <c r="B36" i="58"/>
  <c r="Z35" i="58"/>
  <c r="X35" i="58"/>
  <c r="R35" i="58"/>
  <c r="L35" i="58"/>
  <c r="N35" i="58" s="1"/>
  <c r="J35" i="58"/>
  <c r="B35" i="58"/>
  <c r="V34" i="58"/>
  <c r="T34" i="58"/>
  <c r="R34" i="58"/>
  <c r="P34" i="58"/>
  <c r="X34" i="58" s="1"/>
  <c r="Z34" i="58" s="1"/>
  <c r="L34" i="58"/>
  <c r="H34" i="58"/>
  <c r="N34" i="58" s="1"/>
  <c r="F34" i="58"/>
  <c r="D34" i="58"/>
  <c r="B34" i="58"/>
  <c r="Z33" i="58"/>
  <c r="X33" i="58"/>
  <c r="L33" i="58"/>
  <c r="N33" i="58" s="1"/>
  <c r="B33" i="58"/>
  <c r="X32" i="58"/>
  <c r="Z32" i="58" s="1"/>
  <c r="R32" i="58"/>
  <c r="N32" i="58"/>
  <c r="L32" i="58"/>
  <c r="J32" i="58"/>
  <c r="B32" i="58"/>
  <c r="Z31" i="58"/>
  <c r="X31" i="58"/>
  <c r="R31" i="58"/>
  <c r="L31" i="58"/>
  <c r="N31" i="58" s="1"/>
  <c r="J31" i="58"/>
  <c r="B31" i="58"/>
  <c r="X30" i="58"/>
  <c r="Z30" i="58" s="1"/>
  <c r="L30" i="58"/>
  <c r="N30" i="58" s="1"/>
  <c r="B30" i="58"/>
  <c r="T29" i="58"/>
  <c r="R29" i="58"/>
  <c r="P29" i="58"/>
  <c r="J29" i="58"/>
  <c r="H29" i="58"/>
  <c r="D29" i="58"/>
  <c r="L29" i="58" s="1"/>
  <c r="B29" i="58"/>
  <c r="X28" i="58"/>
  <c r="Z28" i="58" s="1"/>
  <c r="R28" i="58"/>
  <c r="N28" i="58"/>
  <c r="L28" i="58"/>
  <c r="J28" i="58"/>
  <c r="B28" i="58"/>
  <c r="Z27" i="58"/>
  <c r="X27" i="58"/>
  <c r="R27" i="58"/>
  <c r="L27" i="58"/>
  <c r="N27" i="58" s="1"/>
  <c r="J27" i="58"/>
  <c r="B27" i="58"/>
  <c r="X26" i="58"/>
  <c r="Z26" i="58" s="1"/>
  <c r="V26" i="58"/>
  <c r="L26" i="58"/>
  <c r="N26" i="58" s="1"/>
  <c r="B26" i="58"/>
  <c r="X25" i="58"/>
  <c r="Z25" i="58" s="1"/>
  <c r="R25" i="58"/>
  <c r="N25" i="58"/>
  <c r="L25" i="58"/>
  <c r="J25" i="58"/>
  <c r="B25" i="58"/>
  <c r="Z24" i="58"/>
  <c r="X24" i="58"/>
  <c r="V24" i="58"/>
  <c r="R24" i="58"/>
  <c r="L24" i="58"/>
  <c r="N24" i="58" s="1"/>
  <c r="B24" i="58"/>
  <c r="X23" i="58"/>
  <c r="Z23" i="58" s="1"/>
  <c r="V23" i="58"/>
  <c r="N23" i="58"/>
  <c r="L23" i="58"/>
  <c r="J23" i="58"/>
  <c r="B23" i="58"/>
  <c r="X22" i="58"/>
  <c r="Z22" i="58" s="1"/>
  <c r="R22" i="58"/>
  <c r="L22" i="58"/>
  <c r="N22" i="58" s="1"/>
  <c r="J22" i="58"/>
  <c r="B22" i="58"/>
  <c r="Z21" i="58"/>
  <c r="X21" i="58"/>
  <c r="L21" i="58"/>
  <c r="N21" i="58" s="1"/>
  <c r="F21" i="58"/>
  <c r="B21" i="58"/>
  <c r="X20" i="58"/>
  <c r="Z20" i="58" s="1"/>
  <c r="R20" i="58"/>
  <c r="N20" i="58"/>
  <c r="L20" i="58"/>
  <c r="J20" i="58"/>
  <c r="B20" i="58"/>
  <c r="T19" i="58"/>
  <c r="P19" i="58"/>
  <c r="X19" i="58" s="1"/>
  <c r="N19" i="58"/>
  <c r="J19" i="58"/>
  <c r="H19" i="58"/>
  <c r="D19" i="58"/>
  <c r="L19" i="58" s="1"/>
  <c r="B19" i="58"/>
  <c r="X18" i="58"/>
  <c r="Z18" i="58" s="1"/>
  <c r="T18" i="58"/>
  <c r="P18" i="58"/>
  <c r="N18" i="58"/>
  <c r="J18" i="58"/>
  <c r="H18" i="58"/>
  <c r="D18" i="58"/>
  <c r="L18" i="58" s="1"/>
  <c r="V16" i="58"/>
  <c r="R16" i="58"/>
  <c r="P16" i="58"/>
  <c r="J16" i="58"/>
  <c r="T14" i="58"/>
  <c r="Z14" i="58" s="1"/>
  <c r="R14" i="58"/>
  <c r="P14" i="58"/>
  <c r="N14" i="58"/>
  <c r="J14" i="58"/>
  <c r="H14" i="58"/>
  <c r="H16" i="58" s="1"/>
  <c r="D14" i="58"/>
  <c r="T12" i="58"/>
  <c r="P12" i="58"/>
  <c r="R50" i="58" s="1"/>
  <c r="N12" i="58"/>
  <c r="L12" i="58"/>
  <c r="H12" i="58"/>
  <c r="J62" i="58" s="1"/>
  <c r="D12" i="58"/>
  <c r="F44" i="58" s="1"/>
  <c r="D6" i="58"/>
  <c r="D4" i="58"/>
  <c r="J65" i="57"/>
  <c r="F65" i="57"/>
  <c r="Z60" i="57"/>
  <c r="X60" i="57"/>
  <c r="N60" i="57"/>
  <c r="L60" i="57"/>
  <c r="V58" i="57"/>
  <c r="J58" i="57"/>
  <c r="F58" i="57"/>
  <c r="X56" i="57"/>
  <c r="T56" i="57"/>
  <c r="Z56" i="57" s="1"/>
  <c r="R56" i="57"/>
  <c r="P56" i="57"/>
  <c r="N56" i="57"/>
  <c r="L56" i="57"/>
  <c r="H56" i="57"/>
  <c r="D56" i="57"/>
  <c r="Z54" i="57"/>
  <c r="X54" i="57"/>
  <c r="V54" i="57"/>
  <c r="R54" i="57"/>
  <c r="L54" i="57"/>
  <c r="N54" i="57" s="1"/>
  <c r="B54" i="57"/>
  <c r="X53" i="57"/>
  <c r="T53" i="57"/>
  <c r="Z53" i="57" s="1"/>
  <c r="P53" i="57"/>
  <c r="L53" i="57"/>
  <c r="H53" i="57"/>
  <c r="F53" i="57"/>
  <c r="D53" i="57"/>
  <c r="B53" i="57"/>
  <c r="Z52" i="57"/>
  <c r="X52" i="57"/>
  <c r="V52" i="57"/>
  <c r="N52" i="57"/>
  <c r="L52" i="57"/>
  <c r="F52" i="57"/>
  <c r="B52" i="57"/>
  <c r="T51" i="57"/>
  <c r="Z51" i="57" s="1"/>
  <c r="P51" i="57"/>
  <c r="N51" i="57"/>
  <c r="H51" i="57"/>
  <c r="D51" i="57"/>
  <c r="B51" i="57"/>
  <c r="X50" i="57"/>
  <c r="Z50" i="57" s="1"/>
  <c r="N50" i="57"/>
  <c r="L50" i="57"/>
  <c r="J50" i="57"/>
  <c r="F50" i="57"/>
  <c r="B50" i="57"/>
  <c r="Z49" i="57"/>
  <c r="T49" i="57"/>
  <c r="P49" i="57"/>
  <c r="X49" i="57" s="1"/>
  <c r="J49" i="57"/>
  <c r="H49" i="57"/>
  <c r="D49" i="57"/>
  <c r="L49" i="57" s="1"/>
  <c r="N49" i="57" s="1"/>
  <c r="B49" i="57"/>
  <c r="Z48" i="57"/>
  <c r="X48" i="57"/>
  <c r="L48" i="57"/>
  <c r="N48" i="57" s="1"/>
  <c r="J48" i="57"/>
  <c r="B48" i="57"/>
  <c r="Z47" i="57"/>
  <c r="X47" i="57"/>
  <c r="N47" i="57"/>
  <c r="L47" i="57"/>
  <c r="F47" i="57"/>
  <c r="B47" i="57"/>
  <c r="X46" i="57"/>
  <c r="T46" i="57"/>
  <c r="P46" i="57"/>
  <c r="H46" i="57"/>
  <c r="D46" i="57"/>
  <c r="B46" i="57"/>
  <c r="X45" i="57"/>
  <c r="Z45" i="57" s="1"/>
  <c r="N45" i="57"/>
  <c r="L45" i="57"/>
  <c r="F45" i="57"/>
  <c r="B45" i="57"/>
  <c r="X44" i="57"/>
  <c r="T44" i="57"/>
  <c r="P44" i="57"/>
  <c r="N44" i="57"/>
  <c r="J44" i="57"/>
  <c r="H44" i="57"/>
  <c r="D44" i="57"/>
  <c r="L44" i="57" s="1"/>
  <c r="B44" i="57"/>
  <c r="Z43" i="57"/>
  <c r="X43" i="57"/>
  <c r="N43" i="57"/>
  <c r="L43" i="57"/>
  <c r="J43" i="57"/>
  <c r="B43" i="57"/>
  <c r="Z42" i="57"/>
  <c r="X42" i="57"/>
  <c r="V42" i="57"/>
  <c r="N42" i="57"/>
  <c r="L42" i="57"/>
  <c r="B42" i="57"/>
  <c r="X41" i="57"/>
  <c r="Z41" i="57" s="1"/>
  <c r="N41" i="57"/>
  <c r="L41" i="57"/>
  <c r="F41" i="57"/>
  <c r="B41" i="57"/>
  <c r="T40" i="57"/>
  <c r="P40" i="57"/>
  <c r="N40" i="57"/>
  <c r="J40" i="57"/>
  <c r="H40" i="57"/>
  <c r="D40" i="57"/>
  <c r="L40" i="57" s="1"/>
  <c r="B40" i="57"/>
  <c r="X39" i="57"/>
  <c r="Z39" i="57" s="1"/>
  <c r="N39" i="57"/>
  <c r="L39" i="57"/>
  <c r="J39" i="57"/>
  <c r="B39" i="57"/>
  <c r="T38" i="57"/>
  <c r="P38" i="57"/>
  <c r="X38" i="57" s="1"/>
  <c r="Z38" i="57" s="1"/>
  <c r="J38" i="57"/>
  <c r="H38" i="57"/>
  <c r="F38" i="57"/>
  <c r="D38" i="57"/>
  <c r="L38" i="57" s="1"/>
  <c r="N38" i="57" s="1"/>
  <c r="B38" i="57"/>
  <c r="Z37" i="57"/>
  <c r="X37" i="57"/>
  <c r="L37" i="57"/>
  <c r="N37" i="57" s="1"/>
  <c r="J37" i="57"/>
  <c r="B37" i="57"/>
  <c r="X36" i="57"/>
  <c r="Z36" i="57" s="1"/>
  <c r="L36" i="57"/>
  <c r="N36" i="57" s="1"/>
  <c r="F36" i="57"/>
  <c r="B36" i="57"/>
  <c r="X35" i="57"/>
  <c r="T35" i="57"/>
  <c r="P35" i="57"/>
  <c r="J35" i="57"/>
  <c r="H35" i="57"/>
  <c r="N35" i="57" s="1"/>
  <c r="D35" i="57"/>
  <c r="L35" i="57" s="1"/>
  <c r="B35" i="57"/>
  <c r="X34" i="57"/>
  <c r="Z34" i="57" s="1"/>
  <c r="N34" i="57"/>
  <c r="L34" i="57"/>
  <c r="J34" i="57"/>
  <c r="F34" i="57"/>
  <c r="B34" i="57"/>
  <c r="T33" i="57"/>
  <c r="P33" i="57"/>
  <c r="X33" i="57" s="1"/>
  <c r="N33" i="57"/>
  <c r="J33" i="57"/>
  <c r="H33" i="57"/>
  <c r="D33" i="57"/>
  <c r="L33" i="57" s="1"/>
  <c r="B33" i="57"/>
  <c r="X32" i="57"/>
  <c r="Z32" i="57" s="1"/>
  <c r="L32" i="57"/>
  <c r="N32" i="57" s="1"/>
  <c r="J32" i="57"/>
  <c r="B32" i="57"/>
  <c r="T31" i="57"/>
  <c r="P31" i="57"/>
  <c r="X31" i="57" s="1"/>
  <c r="Z31" i="57" s="1"/>
  <c r="L31" i="57"/>
  <c r="J31" i="57"/>
  <c r="H31" i="57"/>
  <c r="F31" i="57"/>
  <c r="D31" i="57"/>
  <c r="B31" i="57"/>
  <c r="Z30" i="57"/>
  <c r="X30" i="57"/>
  <c r="V30" i="57"/>
  <c r="L30" i="57"/>
  <c r="N30" i="57" s="1"/>
  <c r="B30" i="57"/>
  <c r="X29" i="57"/>
  <c r="Z29" i="57" s="1"/>
  <c r="N29" i="57"/>
  <c r="L29" i="57"/>
  <c r="J29" i="57"/>
  <c r="F29" i="57"/>
  <c r="B29" i="57"/>
  <c r="T28" i="57"/>
  <c r="P28" i="57"/>
  <c r="N28" i="57"/>
  <c r="J28" i="57"/>
  <c r="H28" i="57"/>
  <c r="D28" i="57"/>
  <c r="L28" i="57" s="1"/>
  <c r="B28" i="57"/>
  <c r="X27" i="57"/>
  <c r="Z27" i="57" s="1"/>
  <c r="N27" i="57"/>
  <c r="L27" i="57"/>
  <c r="J27" i="57"/>
  <c r="B27" i="57"/>
  <c r="Z26" i="57"/>
  <c r="X26" i="57"/>
  <c r="L26" i="57"/>
  <c r="N26" i="57" s="1"/>
  <c r="B26" i="57"/>
  <c r="X25" i="57"/>
  <c r="Z25" i="57" s="1"/>
  <c r="N25" i="57"/>
  <c r="L25" i="57"/>
  <c r="J25" i="57"/>
  <c r="F25" i="57"/>
  <c r="B25" i="57"/>
  <c r="X24" i="57"/>
  <c r="Z24" i="57" s="1"/>
  <c r="L24" i="57"/>
  <c r="N24" i="57" s="1"/>
  <c r="J24" i="57"/>
  <c r="B24" i="57"/>
  <c r="Z23" i="57"/>
  <c r="X23" i="57"/>
  <c r="V23" i="57"/>
  <c r="L23" i="57"/>
  <c r="N23" i="57" s="1"/>
  <c r="F23" i="57"/>
  <c r="B23" i="57"/>
  <c r="X22" i="57"/>
  <c r="Z22" i="57" s="1"/>
  <c r="N22" i="57"/>
  <c r="L22" i="57"/>
  <c r="J22" i="57"/>
  <c r="F22" i="57"/>
  <c r="B22" i="57"/>
  <c r="Z21" i="57"/>
  <c r="X21" i="57"/>
  <c r="L21" i="57"/>
  <c r="N21" i="57" s="1"/>
  <c r="J21" i="57"/>
  <c r="B21" i="57"/>
  <c r="X20" i="57"/>
  <c r="Z20" i="57" s="1"/>
  <c r="V20" i="57"/>
  <c r="L20" i="57"/>
  <c r="N20" i="57" s="1"/>
  <c r="F20" i="57"/>
  <c r="B20" i="57"/>
  <c r="T19" i="57"/>
  <c r="R19" i="57"/>
  <c r="P19" i="57"/>
  <c r="N19" i="57"/>
  <c r="J19" i="57"/>
  <c r="H19" i="57"/>
  <c r="D19" i="57"/>
  <c r="L19" i="57" s="1"/>
  <c r="B19" i="57"/>
  <c r="X18" i="57"/>
  <c r="T18" i="57"/>
  <c r="Z18" i="57" s="1"/>
  <c r="R18" i="57"/>
  <c r="P18" i="57"/>
  <c r="H18" i="57"/>
  <c r="D18" i="57"/>
  <c r="V16" i="57"/>
  <c r="T16" i="57"/>
  <c r="Z16" i="57" s="1"/>
  <c r="J16" i="57"/>
  <c r="F16" i="57"/>
  <c r="D16" i="57"/>
  <c r="L16" i="57" s="1"/>
  <c r="X14" i="57"/>
  <c r="T14" i="57"/>
  <c r="Z14" i="57" s="1"/>
  <c r="R14" i="57"/>
  <c r="P14" i="57"/>
  <c r="N14" i="57"/>
  <c r="L14" i="57"/>
  <c r="H14" i="57"/>
  <c r="H16" i="57" s="1"/>
  <c r="D14" i="57"/>
  <c r="T12" i="57"/>
  <c r="P12" i="57"/>
  <c r="L12" i="57"/>
  <c r="H12" i="57"/>
  <c r="J60" i="57" s="1"/>
  <c r="D12" i="57"/>
  <c r="F62" i="57" s="1"/>
  <c r="D6" i="57"/>
  <c r="D4" i="57"/>
  <c r="F60" i="56"/>
  <c r="Z58" i="56"/>
  <c r="X58" i="56"/>
  <c r="N58" i="56"/>
  <c r="L58" i="56"/>
  <c r="J58" i="56"/>
  <c r="T54" i="56"/>
  <c r="Z54" i="56" s="1"/>
  <c r="R54" i="56"/>
  <c r="P54" i="56"/>
  <c r="X54" i="56" s="1"/>
  <c r="L54" i="56"/>
  <c r="H54" i="56"/>
  <c r="N54" i="56" s="1"/>
  <c r="D54" i="56"/>
  <c r="X52" i="56"/>
  <c r="Z52" i="56" s="1"/>
  <c r="L52" i="56"/>
  <c r="N52" i="56" s="1"/>
  <c r="B52" i="56"/>
  <c r="T51" i="56"/>
  <c r="P51" i="56"/>
  <c r="X51" i="56" s="1"/>
  <c r="Z51" i="56" s="1"/>
  <c r="L51" i="56"/>
  <c r="N51" i="56" s="1"/>
  <c r="H51" i="56"/>
  <c r="D51" i="56"/>
  <c r="B51" i="56"/>
  <c r="Z50" i="56"/>
  <c r="X50" i="56"/>
  <c r="V50" i="56"/>
  <c r="N50" i="56"/>
  <c r="L50" i="56"/>
  <c r="B50" i="56"/>
  <c r="X49" i="56"/>
  <c r="Z49" i="56" s="1"/>
  <c r="N49" i="56"/>
  <c r="L49" i="56"/>
  <c r="B49" i="56"/>
  <c r="T48" i="56"/>
  <c r="P48" i="56"/>
  <c r="N48" i="56"/>
  <c r="J48" i="56"/>
  <c r="H48" i="56"/>
  <c r="D48" i="56"/>
  <c r="L48" i="56" s="1"/>
  <c r="B48" i="56"/>
  <c r="X47" i="56"/>
  <c r="Z47" i="56" s="1"/>
  <c r="N47" i="56"/>
  <c r="L47" i="56"/>
  <c r="J47" i="56"/>
  <c r="B47" i="56"/>
  <c r="T46" i="56"/>
  <c r="Z46" i="56" s="1"/>
  <c r="P46" i="56"/>
  <c r="X46" i="56" s="1"/>
  <c r="J46" i="56"/>
  <c r="H46" i="56"/>
  <c r="N46" i="56" s="1"/>
  <c r="F46" i="56"/>
  <c r="D46" i="56"/>
  <c r="L46" i="56" s="1"/>
  <c r="B46" i="56"/>
  <c r="Z45" i="56"/>
  <c r="X45" i="56"/>
  <c r="N45" i="56"/>
  <c r="L45" i="56"/>
  <c r="J45" i="56"/>
  <c r="B45" i="56"/>
  <c r="X44" i="56"/>
  <c r="Z44" i="56" s="1"/>
  <c r="L44" i="56"/>
  <c r="N44" i="56" s="1"/>
  <c r="F44" i="56"/>
  <c r="B44" i="56"/>
  <c r="X43" i="56"/>
  <c r="T43" i="56"/>
  <c r="P43" i="56"/>
  <c r="H43" i="56"/>
  <c r="N43" i="56" s="1"/>
  <c r="D43" i="56"/>
  <c r="L43" i="56" s="1"/>
  <c r="B43" i="56"/>
  <c r="X42" i="56"/>
  <c r="Z42" i="56" s="1"/>
  <c r="N42" i="56"/>
  <c r="L42" i="56"/>
  <c r="B42" i="56"/>
  <c r="T41" i="56"/>
  <c r="P41" i="56"/>
  <c r="H41" i="56"/>
  <c r="D41" i="56"/>
  <c r="L41" i="56" s="1"/>
  <c r="N41" i="56" s="1"/>
  <c r="B41" i="56"/>
  <c r="X40" i="56"/>
  <c r="Z40" i="56" s="1"/>
  <c r="L40" i="56"/>
  <c r="N40" i="56" s="1"/>
  <c r="B40" i="56"/>
  <c r="T39" i="56"/>
  <c r="P39" i="56"/>
  <c r="X39" i="56" s="1"/>
  <c r="Z39" i="56" s="1"/>
  <c r="L39" i="56"/>
  <c r="N39" i="56" s="1"/>
  <c r="H39" i="56"/>
  <c r="D39" i="56"/>
  <c r="B39" i="56"/>
  <c r="Z38" i="56"/>
  <c r="X38" i="56"/>
  <c r="V38" i="56"/>
  <c r="N38" i="56"/>
  <c r="L38" i="56"/>
  <c r="B38" i="56"/>
  <c r="Z37" i="56"/>
  <c r="X37" i="56"/>
  <c r="V37" i="56"/>
  <c r="T37" i="56"/>
  <c r="P37" i="56"/>
  <c r="H37" i="56"/>
  <c r="N37" i="56" s="1"/>
  <c r="F37" i="56"/>
  <c r="D37" i="56"/>
  <c r="B37" i="56"/>
  <c r="X36" i="56"/>
  <c r="Z36" i="56" s="1"/>
  <c r="L36" i="56"/>
  <c r="N36" i="56" s="1"/>
  <c r="F36" i="56"/>
  <c r="B36" i="56"/>
  <c r="X35" i="56"/>
  <c r="Z35" i="56" s="1"/>
  <c r="T35" i="56"/>
  <c r="P35" i="56"/>
  <c r="J35" i="56"/>
  <c r="H35" i="56"/>
  <c r="D35" i="56"/>
  <c r="L35" i="56" s="1"/>
  <c r="B35" i="56"/>
  <c r="X34" i="56"/>
  <c r="Z34" i="56" s="1"/>
  <c r="N34" i="56"/>
  <c r="L34" i="56"/>
  <c r="J34" i="56"/>
  <c r="F34" i="56"/>
  <c r="B34" i="56"/>
  <c r="T33" i="56"/>
  <c r="P33" i="56"/>
  <c r="J33" i="56"/>
  <c r="H33" i="56"/>
  <c r="F33" i="56"/>
  <c r="D33" i="56"/>
  <c r="L33" i="56" s="1"/>
  <c r="N33" i="56" s="1"/>
  <c r="B33" i="56"/>
  <c r="Z32" i="56"/>
  <c r="X32" i="56"/>
  <c r="L32" i="56"/>
  <c r="N32" i="56" s="1"/>
  <c r="J32" i="56"/>
  <c r="B32" i="56"/>
  <c r="Z31" i="56"/>
  <c r="T31" i="56"/>
  <c r="P31" i="56"/>
  <c r="X31" i="56" s="1"/>
  <c r="L31" i="56"/>
  <c r="J31" i="56"/>
  <c r="H31" i="56"/>
  <c r="N31" i="56" s="1"/>
  <c r="F31" i="56"/>
  <c r="D31" i="56"/>
  <c r="B31" i="56"/>
  <c r="Z30" i="56"/>
  <c r="X30" i="56"/>
  <c r="L30" i="56"/>
  <c r="N30" i="56" s="1"/>
  <c r="F30" i="56"/>
  <c r="B30" i="56"/>
  <c r="X29" i="56"/>
  <c r="Z29" i="56" s="1"/>
  <c r="N29" i="56"/>
  <c r="L29" i="56"/>
  <c r="J29" i="56"/>
  <c r="F29" i="56"/>
  <c r="B29" i="56"/>
  <c r="T28" i="56"/>
  <c r="P28" i="56"/>
  <c r="X28" i="56" s="1"/>
  <c r="Z28" i="56" s="1"/>
  <c r="J28" i="56"/>
  <c r="H28" i="56"/>
  <c r="D28" i="56"/>
  <c r="L28" i="56" s="1"/>
  <c r="B28" i="56"/>
  <c r="Z27" i="56"/>
  <c r="X27" i="56"/>
  <c r="N27" i="56"/>
  <c r="L27" i="56"/>
  <c r="J27" i="56"/>
  <c r="B27" i="56"/>
  <c r="Z26" i="56"/>
  <c r="X26" i="56"/>
  <c r="L26" i="56"/>
  <c r="N26" i="56" s="1"/>
  <c r="F26" i="56"/>
  <c r="B26" i="56"/>
  <c r="X25" i="56"/>
  <c r="Z25" i="56" s="1"/>
  <c r="N25" i="56"/>
  <c r="L25" i="56"/>
  <c r="F25" i="56"/>
  <c r="B25" i="56"/>
  <c r="X24" i="56"/>
  <c r="Z24" i="56" s="1"/>
  <c r="L24" i="56"/>
  <c r="N24" i="56" s="1"/>
  <c r="B24" i="56"/>
  <c r="Z23" i="56"/>
  <c r="X23" i="56"/>
  <c r="V23" i="56"/>
  <c r="N23" i="56"/>
  <c r="L23" i="56"/>
  <c r="B23" i="56"/>
  <c r="X22" i="56"/>
  <c r="Z22" i="56" s="1"/>
  <c r="N22" i="56"/>
  <c r="L22" i="56"/>
  <c r="J22" i="56"/>
  <c r="F22" i="56"/>
  <c r="B22" i="56"/>
  <c r="Z21" i="56"/>
  <c r="X21" i="56"/>
  <c r="L21" i="56"/>
  <c r="N21" i="56" s="1"/>
  <c r="J21" i="56"/>
  <c r="B21" i="56"/>
  <c r="X20" i="56"/>
  <c r="Z20" i="56" s="1"/>
  <c r="L20" i="56"/>
  <c r="N20" i="56" s="1"/>
  <c r="F20" i="56"/>
  <c r="B20" i="56"/>
  <c r="Z19" i="56"/>
  <c r="X19" i="56"/>
  <c r="T19" i="56"/>
  <c r="P19" i="56"/>
  <c r="J19" i="56"/>
  <c r="H19" i="56"/>
  <c r="D19" i="56"/>
  <c r="B19" i="56"/>
  <c r="T18" i="56"/>
  <c r="P18" i="56"/>
  <c r="H18" i="56"/>
  <c r="D18" i="56"/>
  <c r="L18" i="56" s="1"/>
  <c r="N18" i="56" s="1"/>
  <c r="V16" i="56"/>
  <c r="T16" i="56"/>
  <c r="H16" i="56"/>
  <c r="N16" i="56" s="1"/>
  <c r="F16" i="56"/>
  <c r="D16" i="56"/>
  <c r="Z14" i="56"/>
  <c r="T14" i="56"/>
  <c r="P14" i="56"/>
  <c r="X14" i="56" s="1"/>
  <c r="N14" i="56"/>
  <c r="L14" i="56"/>
  <c r="J14" i="56"/>
  <c r="H14" i="56"/>
  <c r="F14" i="56"/>
  <c r="D14" i="56"/>
  <c r="T12" i="56"/>
  <c r="P12" i="56"/>
  <c r="R52" i="56" s="1"/>
  <c r="N12" i="56"/>
  <c r="H12" i="56"/>
  <c r="J56" i="56" s="1"/>
  <c r="D12" i="56"/>
  <c r="F54" i="56" s="1"/>
  <c r="D6" i="56"/>
  <c r="D4" i="56"/>
  <c r="V37" i="55"/>
  <c r="F37" i="55"/>
  <c r="R34" i="55"/>
  <c r="Z32" i="55"/>
  <c r="X32" i="55"/>
  <c r="V32" i="55"/>
  <c r="N32" i="55"/>
  <c r="L32" i="55"/>
  <c r="F32" i="55"/>
  <c r="V30" i="55"/>
  <c r="F30" i="55"/>
  <c r="T28" i="55"/>
  <c r="Z28" i="55" s="1"/>
  <c r="R28" i="55"/>
  <c r="P28" i="55"/>
  <c r="X28" i="55" s="1"/>
  <c r="N28" i="55"/>
  <c r="H28" i="55"/>
  <c r="D28" i="55"/>
  <c r="L28" i="55" s="1"/>
  <c r="X26" i="55"/>
  <c r="Z26" i="55" s="1"/>
  <c r="V26" i="55"/>
  <c r="N26" i="55"/>
  <c r="L26" i="55"/>
  <c r="F26" i="55"/>
  <c r="B26" i="55"/>
  <c r="X25" i="55"/>
  <c r="Z25" i="55" s="1"/>
  <c r="T25" i="55"/>
  <c r="P25" i="55"/>
  <c r="H25" i="55"/>
  <c r="D25" i="55"/>
  <c r="B25" i="55"/>
  <c r="X24" i="55"/>
  <c r="Z24" i="55" s="1"/>
  <c r="V24" i="55"/>
  <c r="R24" i="55"/>
  <c r="N24" i="55"/>
  <c r="L24" i="55"/>
  <c r="B24" i="55"/>
  <c r="V23" i="55"/>
  <c r="T23" i="55"/>
  <c r="P23" i="55"/>
  <c r="H23" i="55"/>
  <c r="N23" i="55" s="1"/>
  <c r="F23" i="55"/>
  <c r="D23" i="55"/>
  <c r="L23" i="55" s="1"/>
  <c r="B23" i="55"/>
  <c r="Z22" i="55"/>
  <c r="X22" i="55"/>
  <c r="L22" i="55"/>
  <c r="N22" i="55" s="1"/>
  <c r="B22" i="55"/>
  <c r="V21" i="55"/>
  <c r="T21" i="55"/>
  <c r="R21" i="55"/>
  <c r="P21" i="55"/>
  <c r="X21" i="55" s="1"/>
  <c r="H21" i="55"/>
  <c r="N21" i="55" s="1"/>
  <c r="F21" i="55"/>
  <c r="D21" i="55"/>
  <c r="L21" i="55" s="1"/>
  <c r="B21" i="55"/>
  <c r="Z20" i="55"/>
  <c r="X20" i="55"/>
  <c r="L20" i="55"/>
  <c r="N20" i="55" s="1"/>
  <c r="F20" i="55"/>
  <c r="B20" i="55"/>
  <c r="T19" i="55"/>
  <c r="P19" i="55"/>
  <c r="X19" i="55" s="1"/>
  <c r="N19" i="55"/>
  <c r="L19" i="55"/>
  <c r="H19" i="55"/>
  <c r="D19" i="55"/>
  <c r="B19" i="55"/>
  <c r="X18" i="55"/>
  <c r="Z18" i="55" s="1"/>
  <c r="V18" i="55"/>
  <c r="T18" i="55"/>
  <c r="P18" i="55"/>
  <c r="H18" i="55"/>
  <c r="F18" i="55"/>
  <c r="D18" i="55"/>
  <c r="T16" i="55"/>
  <c r="T30" i="55" s="1"/>
  <c r="R16" i="55"/>
  <c r="P16" i="55"/>
  <c r="D16" i="55"/>
  <c r="D30" i="55" s="1"/>
  <c r="Z14" i="55"/>
  <c r="X14" i="55"/>
  <c r="V14" i="55"/>
  <c r="T14" i="55"/>
  <c r="P14" i="55"/>
  <c r="H14" i="55"/>
  <c r="F14" i="55"/>
  <c r="D14" i="55"/>
  <c r="T12" i="55"/>
  <c r="V25" i="55" s="1"/>
  <c r="P12" i="55"/>
  <c r="R32" i="55" s="1"/>
  <c r="L12" i="55"/>
  <c r="H12" i="55"/>
  <c r="J22" i="55" s="1"/>
  <c r="D12" i="55"/>
  <c r="F25" i="55" s="1"/>
  <c r="D6" i="55"/>
  <c r="D4" i="55"/>
  <c r="V31" i="54"/>
  <c r="R31" i="54"/>
  <c r="Z29" i="54"/>
  <c r="T29" i="54"/>
  <c r="P29" i="54"/>
  <c r="X29" i="54" s="1"/>
  <c r="L29" i="54"/>
  <c r="N29" i="54" s="1"/>
  <c r="J29" i="54"/>
  <c r="H29" i="54"/>
  <c r="D29" i="54"/>
  <c r="V28" i="54"/>
  <c r="T28" i="54"/>
  <c r="R28" i="54"/>
  <c r="P28" i="54"/>
  <c r="H28" i="54"/>
  <c r="D28" i="54"/>
  <c r="L28" i="54" s="1"/>
  <c r="J26" i="54"/>
  <c r="Z24" i="54"/>
  <c r="X24" i="54"/>
  <c r="V24" i="54"/>
  <c r="R24" i="54"/>
  <c r="N24" i="54"/>
  <c r="L24" i="54"/>
  <c r="V22" i="54"/>
  <c r="R22" i="54"/>
  <c r="Z20" i="54"/>
  <c r="T20" i="54"/>
  <c r="P20" i="54"/>
  <c r="X20" i="54" s="1"/>
  <c r="N20" i="54"/>
  <c r="L20" i="54"/>
  <c r="J20" i="54"/>
  <c r="H20" i="54"/>
  <c r="D20" i="54"/>
  <c r="V18" i="54"/>
  <c r="T18" i="54"/>
  <c r="R18" i="54"/>
  <c r="P18" i="54"/>
  <c r="H18" i="54"/>
  <c r="N18" i="54" s="1"/>
  <c r="D18" i="54"/>
  <c r="L18" i="54" s="1"/>
  <c r="R16" i="54"/>
  <c r="P16" i="54"/>
  <c r="P22" i="54" s="1"/>
  <c r="J16" i="54"/>
  <c r="V14" i="54"/>
  <c r="T14" i="54"/>
  <c r="R14" i="54"/>
  <c r="P14" i="54"/>
  <c r="H14" i="54"/>
  <c r="N14" i="54" s="1"/>
  <c r="D14" i="54"/>
  <c r="L14" i="54" s="1"/>
  <c r="Z12" i="54"/>
  <c r="T12" i="54"/>
  <c r="X12" i="54" s="1"/>
  <c r="P12" i="54"/>
  <c r="R29" i="54" s="1"/>
  <c r="H12" i="54"/>
  <c r="H16" i="54" s="1"/>
  <c r="D12" i="54"/>
  <c r="D6" i="54"/>
  <c r="D4" i="54"/>
  <c r="B39" i="53"/>
  <c r="B38" i="53"/>
  <c r="T34" i="53"/>
  <c r="Z34" i="53" s="1"/>
  <c r="P34" i="53"/>
  <c r="H34" i="53"/>
  <c r="N34" i="53" s="1"/>
  <c r="D34" i="53"/>
  <c r="T33" i="53"/>
  <c r="P33" i="53"/>
  <c r="H33" i="53"/>
  <c r="N33" i="53" s="1"/>
  <c r="D33" i="53"/>
  <c r="T29" i="53"/>
  <c r="P29" i="53"/>
  <c r="H29" i="53"/>
  <c r="N29" i="53" s="1"/>
  <c r="D29" i="53"/>
  <c r="T25" i="53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D20" i="53"/>
  <c r="T16" i="53"/>
  <c r="Z16" i="53" s="1"/>
  <c r="P16" i="53"/>
  <c r="H16" i="53"/>
  <c r="D16" i="53"/>
  <c r="B16" i="53"/>
  <c r="T15" i="53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20" i="53" s="1"/>
  <c r="P12" i="53"/>
  <c r="H12" i="53"/>
  <c r="J20" i="53" s="1"/>
  <c r="D12" i="53"/>
  <c r="F22" i="53" s="1"/>
  <c r="D5" i="53"/>
  <c r="D4" i="53"/>
  <c r="B39" i="52"/>
  <c r="B38" i="52"/>
  <c r="T34" i="52"/>
  <c r="Z34" i="52" s="1"/>
  <c r="P34" i="52"/>
  <c r="H34" i="52"/>
  <c r="N34" i="52" s="1"/>
  <c r="D34" i="52"/>
  <c r="T33" i="52"/>
  <c r="P33" i="52"/>
  <c r="H33" i="52"/>
  <c r="N33" i="52" s="1"/>
  <c r="D33" i="52"/>
  <c r="T29" i="52"/>
  <c r="P29" i="52"/>
  <c r="H29" i="52"/>
  <c r="N29" i="52" s="1"/>
  <c r="D29" i="52"/>
  <c r="T25" i="52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0" i="52" s="1"/>
  <c r="P12" i="52"/>
  <c r="R36" i="52" s="1"/>
  <c r="H12" i="52"/>
  <c r="J16" i="52" s="1"/>
  <c r="D12" i="52"/>
  <c r="D5" i="52"/>
  <c r="D4" i="52"/>
  <c r="X91" i="51"/>
  <c r="Z91" i="51" s="1"/>
  <c r="N91" i="51"/>
  <c r="L91" i="51"/>
  <c r="T87" i="51"/>
  <c r="P87" i="51"/>
  <c r="X87" i="51" s="1"/>
  <c r="Z87" i="51" s="1"/>
  <c r="L87" i="51"/>
  <c r="N87" i="51" s="1"/>
  <c r="H87" i="51"/>
  <c r="D87" i="51"/>
  <c r="B87" i="51"/>
  <c r="T86" i="51"/>
  <c r="P86" i="51"/>
  <c r="H86" i="51"/>
  <c r="N86" i="51" s="1"/>
  <c r="D86" i="51"/>
  <c r="L86" i="51" s="1"/>
  <c r="B86" i="51"/>
  <c r="T85" i="51"/>
  <c r="P85" i="51"/>
  <c r="N85" i="51"/>
  <c r="H85" i="51"/>
  <c r="D85" i="51"/>
  <c r="L85" i="51" s="1"/>
  <c r="B85" i="51"/>
  <c r="H84" i="51"/>
  <c r="X82" i="51"/>
  <c r="Z82" i="51" s="1"/>
  <c r="L82" i="51"/>
  <c r="N82" i="51" s="1"/>
  <c r="B82" i="51"/>
  <c r="T81" i="51"/>
  <c r="P81" i="51"/>
  <c r="H81" i="51"/>
  <c r="N81" i="51" s="1"/>
  <c r="D81" i="51"/>
  <c r="L81" i="51" s="1"/>
  <c r="B81" i="51"/>
  <c r="Z80" i="51"/>
  <c r="X80" i="51"/>
  <c r="N80" i="51"/>
  <c r="L80" i="51"/>
  <c r="B80" i="51"/>
  <c r="X79" i="51"/>
  <c r="Z79" i="51" s="1"/>
  <c r="L79" i="51"/>
  <c r="N79" i="51" s="1"/>
  <c r="B79" i="51"/>
  <c r="Z78" i="51"/>
  <c r="X78" i="51"/>
  <c r="N78" i="51"/>
  <c r="L78" i="51"/>
  <c r="B78" i="51"/>
  <c r="T77" i="51"/>
  <c r="P77" i="51"/>
  <c r="H77" i="51"/>
  <c r="N77" i="51" s="1"/>
  <c r="D77" i="51"/>
  <c r="L77" i="51" s="1"/>
  <c r="B77" i="51"/>
  <c r="Z76" i="51"/>
  <c r="X76" i="51"/>
  <c r="L76" i="51"/>
  <c r="N76" i="51" s="1"/>
  <c r="B76" i="51"/>
  <c r="T75" i="51"/>
  <c r="P75" i="51"/>
  <c r="X75" i="51" s="1"/>
  <c r="H75" i="51"/>
  <c r="D75" i="51"/>
  <c r="L75" i="51" s="1"/>
  <c r="N75" i="51" s="1"/>
  <c r="B75" i="51"/>
  <c r="X74" i="51"/>
  <c r="Z74" i="51" s="1"/>
  <c r="N74" i="51"/>
  <c r="L74" i="51"/>
  <c r="B74" i="51"/>
  <c r="Z73" i="51"/>
  <c r="T73" i="51"/>
  <c r="P73" i="51"/>
  <c r="X73" i="51" s="1"/>
  <c r="N73" i="51"/>
  <c r="L73" i="51"/>
  <c r="H73" i="51"/>
  <c r="D73" i="51"/>
  <c r="B73" i="51"/>
  <c r="X72" i="51"/>
  <c r="Z72" i="51" s="1"/>
  <c r="N72" i="51"/>
  <c r="L72" i="51"/>
  <c r="B72" i="51"/>
  <c r="X71" i="51"/>
  <c r="Z71" i="51" s="1"/>
  <c r="L71" i="51"/>
  <c r="N71" i="51" s="1"/>
  <c r="B71" i="51"/>
  <c r="X70" i="51"/>
  <c r="Z70" i="51" s="1"/>
  <c r="T70" i="51"/>
  <c r="P70" i="51"/>
  <c r="H70" i="51"/>
  <c r="D70" i="51"/>
  <c r="B70" i="51"/>
  <c r="Z69" i="51"/>
  <c r="X69" i="51"/>
  <c r="N69" i="51"/>
  <c r="L69" i="51"/>
  <c r="B69" i="51"/>
  <c r="T68" i="51"/>
  <c r="P68" i="51"/>
  <c r="H68" i="51"/>
  <c r="N68" i="51" s="1"/>
  <c r="D68" i="51"/>
  <c r="L68" i="51" s="1"/>
  <c r="B68" i="51"/>
  <c r="X67" i="51"/>
  <c r="Z67" i="51" s="1"/>
  <c r="L67" i="51"/>
  <c r="N67" i="51" s="1"/>
  <c r="B67" i="51"/>
  <c r="T66" i="51"/>
  <c r="P66" i="51"/>
  <c r="X66" i="51" s="1"/>
  <c r="H66" i="51"/>
  <c r="D66" i="51"/>
  <c r="L66" i="51" s="1"/>
  <c r="N66" i="51" s="1"/>
  <c r="B66" i="51"/>
  <c r="Z65" i="51"/>
  <c r="X65" i="51"/>
  <c r="L65" i="51"/>
  <c r="N65" i="51" s="1"/>
  <c r="B65" i="51"/>
  <c r="T64" i="51"/>
  <c r="P64" i="51"/>
  <c r="X64" i="51" s="1"/>
  <c r="Z64" i="51" s="1"/>
  <c r="N64" i="51"/>
  <c r="L64" i="51"/>
  <c r="H64" i="51"/>
  <c r="D64" i="51"/>
  <c r="B64" i="51"/>
  <c r="Z63" i="51"/>
  <c r="X63" i="51"/>
  <c r="N63" i="51"/>
  <c r="L63" i="51"/>
  <c r="B63" i="51"/>
  <c r="Z62" i="51"/>
  <c r="X62" i="51"/>
  <c r="N62" i="51"/>
  <c r="L62" i="51"/>
  <c r="B62" i="51"/>
  <c r="Z61" i="51"/>
  <c r="X61" i="51"/>
  <c r="L61" i="51"/>
  <c r="N61" i="51" s="1"/>
  <c r="B61" i="51"/>
  <c r="Z60" i="51"/>
  <c r="X60" i="51"/>
  <c r="L60" i="51"/>
  <c r="N60" i="51" s="1"/>
  <c r="B60" i="51"/>
  <c r="T59" i="51"/>
  <c r="P59" i="51"/>
  <c r="X59" i="51" s="1"/>
  <c r="H59" i="51"/>
  <c r="D59" i="51"/>
  <c r="L59" i="51" s="1"/>
  <c r="N59" i="51" s="1"/>
  <c r="B59" i="51"/>
  <c r="Z58" i="51"/>
  <c r="X58" i="51"/>
  <c r="N58" i="51"/>
  <c r="L58" i="51"/>
  <c r="B58" i="51"/>
  <c r="Z57" i="51"/>
  <c r="X57" i="51"/>
  <c r="L57" i="51"/>
  <c r="N57" i="51" s="1"/>
  <c r="B57" i="51"/>
  <c r="Z56" i="51"/>
  <c r="X56" i="51"/>
  <c r="L56" i="51"/>
  <c r="N56" i="51" s="1"/>
  <c r="B56" i="51"/>
  <c r="Z55" i="51"/>
  <c r="X55" i="51"/>
  <c r="L55" i="51"/>
  <c r="N55" i="51" s="1"/>
  <c r="B55" i="51"/>
  <c r="X54" i="51"/>
  <c r="Z54" i="51" s="1"/>
  <c r="L54" i="51"/>
  <c r="N54" i="51" s="1"/>
  <c r="B54" i="51"/>
  <c r="X53" i="51"/>
  <c r="Z53" i="51" s="1"/>
  <c r="N53" i="51"/>
  <c r="L53" i="51"/>
  <c r="B53" i="51"/>
  <c r="X52" i="51"/>
  <c r="Z52" i="51" s="1"/>
  <c r="N52" i="51"/>
  <c r="L52" i="51"/>
  <c r="B52" i="51"/>
  <c r="X51" i="51"/>
  <c r="Z51" i="51" s="1"/>
  <c r="N51" i="51"/>
  <c r="L51" i="51"/>
  <c r="B51" i="51"/>
  <c r="X50" i="51"/>
  <c r="Z50" i="51" s="1"/>
  <c r="L50" i="51"/>
  <c r="N50" i="51" s="1"/>
  <c r="B50" i="51"/>
  <c r="T49" i="51"/>
  <c r="P49" i="51"/>
  <c r="X49" i="51" s="1"/>
  <c r="Z49" i="51" s="1"/>
  <c r="L49" i="51"/>
  <c r="N49" i="51" s="1"/>
  <c r="H49" i="51"/>
  <c r="D49" i="51"/>
  <c r="B49" i="51"/>
  <c r="T48" i="51"/>
  <c r="P48" i="51"/>
  <c r="H48" i="51"/>
  <c r="D48" i="51"/>
  <c r="L48" i="51" s="1"/>
  <c r="X44" i="51"/>
  <c r="Z44" i="51" s="1"/>
  <c r="L44" i="51"/>
  <c r="N44" i="51" s="1"/>
  <c r="B44" i="51"/>
  <c r="X43" i="51"/>
  <c r="Z43" i="51" s="1"/>
  <c r="N43" i="51"/>
  <c r="L43" i="51"/>
  <c r="B43" i="51"/>
  <c r="Z42" i="51"/>
  <c r="X42" i="51"/>
  <c r="N42" i="51"/>
  <c r="L42" i="51"/>
  <c r="B42" i="51"/>
  <c r="Z41" i="51"/>
  <c r="X41" i="51"/>
  <c r="L41" i="51"/>
  <c r="N41" i="51" s="1"/>
  <c r="B41" i="51"/>
  <c r="X40" i="51"/>
  <c r="Z40" i="51" s="1"/>
  <c r="L40" i="51"/>
  <c r="N40" i="51" s="1"/>
  <c r="B40" i="51"/>
  <c r="Z39" i="51"/>
  <c r="X39" i="51"/>
  <c r="N39" i="51"/>
  <c r="L39" i="51"/>
  <c r="B39" i="51"/>
  <c r="X38" i="51"/>
  <c r="Z38" i="51" s="1"/>
  <c r="N38" i="51"/>
  <c r="L38" i="51"/>
  <c r="B38" i="51"/>
  <c r="X37" i="51"/>
  <c r="Z37" i="51" s="1"/>
  <c r="N37" i="51"/>
  <c r="L37" i="51"/>
  <c r="B37" i="51"/>
  <c r="X36" i="51"/>
  <c r="Z36" i="51" s="1"/>
  <c r="L36" i="51"/>
  <c r="N36" i="51" s="1"/>
  <c r="B36" i="51"/>
  <c r="Z35" i="51"/>
  <c r="X35" i="51"/>
  <c r="N35" i="51"/>
  <c r="L35" i="51"/>
  <c r="B35" i="51"/>
  <c r="Z34" i="51"/>
  <c r="X34" i="51"/>
  <c r="N34" i="51"/>
  <c r="L34" i="51"/>
  <c r="B34" i="51"/>
  <c r="T33" i="51"/>
  <c r="P33" i="51"/>
  <c r="X33" i="51" s="1"/>
  <c r="Z33" i="51" s="1"/>
  <c r="N33" i="51"/>
  <c r="L33" i="51"/>
  <c r="H33" i="51"/>
  <c r="D33" i="51"/>
  <c r="T31" i="51"/>
  <c r="P31" i="51"/>
  <c r="N31" i="51"/>
  <c r="H31" i="51"/>
  <c r="D31" i="51"/>
  <c r="L31" i="51" s="1"/>
  <c r="B31" i="51"/>
  <c r="T30" i="51"/>
  <c r="Z30" i="51" s="1"/>
  <c r="P30" i="51"/>
  <c r="X30" i="51" s="1"/>
  <c r="N30" i="51"/>
  <c r="L30" i="51"/>
  <c r="H30" i="51"/>
  <c r="D30" i="51"/>
  <c r="B30" i="51"/>
  <c r="T29" i="51"/>
  <c r="P29" i="51"/>
  <c r="H29" i="51"/>
  <c r="D29" i="51"/>
  <c r="L29" i="51" s="1"/>
  <c r="N29" i="51" s="1"/>
  <c r="B29" i="51"/>
  <c r="X28" i="51"/>
  <c r="Z28" i="51" s="1"/>
  <c r="T28" i="51"/>
  <c r="P28" i="51"/>
  <c r="H28" i="51"/>
  <c r="D28" i="51"/>
  <c r="L28" i="51" s="1"/>
  <c r="B28" i="51"/>
  <c r="Z27" i="51"/>
  <c r="T27" i="51"/>
  <c r="X27" i="51" s="1"/>
  <c r="P27" i="51"/>
  <c r="H27" i="51"/>
  <c r="D27" i="51"/>
  <c r="L27" i="51" s="1"/>
  <c r="B27" i="51"/>
  <c r="X26" i="51"/>
  <c r="Z26" i="51" s="1"/>
  <c r="T26" i="51"/>
  <c r="P26" i="51"/>
  <c r="H26" i="51"/>
  <c r="D26" i="51"/>
  <c r="L26" i="51" s="1"/>
  <c r="B26" i="51"/>
  <c r="Z25" i="51"/>
  <c r="T25" i="51"/>
  <c r="P25" i="51"/>
  <c r="X25" i="51" s="1"/>
  <c r="H25" i="51"/>
  <c r="L25" i="51" s="1"/>
  <c r="D25" i="51"/>
  <c r="B25" i="51"/>
  <c r="T24" i="51"/>
  <c r="P24" i="51"/>
  <c r="X24" i="51" s="1"/>
  <c r="N24" i="51"/>
  <c r="L24" i="51"/>
  <c r="H24" i="51"/>
  <c r="D24" i="51"/>
  <c r="B24" i="51"/>
  <c r="T23" i="51"/>
  <c r="P23" i="51"/>
  <c r="N23" i="51"/>
  <c r="H23" i="51"/>
  <c r="L23" i="51" s="1"/>
  <c r="D23" i="51"/>
  <c r="B23" i="51"/>
  <c r="T22" i="51"/>
  <c r="P22" i="51"/>
  <c r="X22" i="51" s="1"/>
  <c r="L22" i="51"/>
  <c r="N22" i="51" s="1"/>
  <c r="H22" i="51"/>
  <c r="D22" i="51"/>
  <c r="B22" i="51"/>
  <c r="X21" i="51"/>
  <c r="T21" i="51"/>
  <c r="Z21" i="51" s="1"/>
  <c r="P21" i="51"/>
  <c r="H21" i="51"/>
  <c r="D21" i="51"/>
  <c r="L21" i="51" s="1"/>
  <c r="N21" i="51" s="1"/>
  <c r="B21" i="51"/>
  <c r="Z20" i="51"/>
  <c r="X20" i="51"/>
  <c r="T20" i="51"/>
  <c r="P20" i="51"/>
  <c r="H20" i="51"/>
  <c r="N20" i="51" s="1"/>
  <c r="D20" i="51"/>
  <c r="L20" i="51" s="1"/>
  <c r="B20" i="51"/>
  <c r="Z19" i="51"/>
  <c r="T19" i="51"/>
  <c r="X19" i="51" s="1"/>
  <c r="P19" i="51"/>
  <c r="H19" i="51"/>
  <c r="N19" i="51" s="1"/>
  <c r="D19" i="51"/>
  <c r="B19" i="51"/>
  <c r="X18" i="51"/>
  <c r="Z18" i="51" s="1"/>
  <c r="T18" i="51"/>
  <c r="P18" i="51"/>
  <c r="H18" i="51"/>
  <c r="D18" i="51"/>
  <c r="L18" i="51" s="1"/>
  <c r="B18" i="51"/>
  <c r="T17" i="51"/>
  <c r="P17" i="51"/>
  <c r="X17" i="51" s="1"/>
  <c r="Z17" i="51" s="1"/>
  <c r="N17" i="51"/>
  <c r="L17" i="51"/>
  <c r="H17" i="51"/>
  <c r="D17" i="51"/>
  <c r="B17" i="51"/>
  <c r="T16" i="51"/>
  <c r="P16" i="51"/>
  <c r="X16" i="51" s="1"/>
  <c r="L16" i="51"/>
  <c r="N16" i="51" s="1"/>
  <c r="H16" i="51"/>
  <c r="D16" i="51"/>
  <c r="B16" i="51"/>
  <c r="T15" i="51"/>
  <c r="P15" i="51"/>
  <c r="N15" i="51"/>
  <c r="H15" i="51"/>
  <c r="L15" i="51" s="1"/>
  <c r="D15" i="51"/>
  <c r="B15" i="51"/>
  <c r="T14" i="51"/>
  <c r="P14" i="51"/>
  <c r="X14" i="51" s="1"/>
  <c r="L14" i="51"/>
  <c r="N14" i="51" s="1"/>
  <c r="H14" i="51"/>
  <c r="D14" i="51"/>
  <c r="B14" i="51"/>
  <c r="Z13" i="51"/>
  <c r="X13" i="51"/>
  <c r="T13" i="51"/>
  <c r="P13" i="51"/>
  <c r="H13" i="51"/>
  <c r="D13" i="51"/>
  <c r="L13" i="51" s="1"/>
  <c r="N13" i="51" s="1"/>
  <c r="B13" i="5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4" i="50" s="1"/>
  <c r="P12" i="50"/>
  <c r="H12" i="50"/>
  <c r="J18" i="50" s="1"/>
  <c r="D12" i="50"/>
  <c r="D5" i="50"/>
  <c r="D4" i="50"/>
  <c r="B39" i="49"/>
  <c r="B38" i="49"/>
  <c r="T34" i="49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D20" i="49"/>
  <c r="T16" i="49"/>
  <c r="Z16" i="49" s="1"/>
  <c r="P16" i="49"/>
  <c r="H16" i="49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20" i="49" s="1"/>
  <c r="P12" i="49"/>
  <c r="R34" i="49" s="1"/>
  <c r="H12" i="49"/>
  <c r="J20" i="49" s="1"/>
  <c r="D12" i="49"/>
  <c r="F20" i="49" s="1"/>
  <c r="D5" i="49"/>
  <c r="D4" i="49"/>
  <c r="Z57" i="48"/>
  <c r="X57" i="48"/>
  <c r="L57" i="48"/>
  <c r="N57" i="48" s="1"/>
  <c r="X53" i="48"/>
  <c r="Z53" i="48" s="1"/>
  <c r="V53" i="48"/>
  <c r="T53" i="48"/>
  <c r="P53" i="48"/>
  <c r="H53" i="48"/>
  <c r="D53" i="48"/>
  <c r="B53" i="48"/>
  <c r="T52" i="48"/>
  <c r="P52" i="48"/>
  <c r="X52" i="48" s="1"/>
  <c r="D52" i="48"/>
  <c r="X50" i="48"/>
  <c r="Z50" i="48" s="1"/>
  <c r="N50" i="48"/>
  <c r="L50" i="48"/>
  <c r="F50" i="48"/>
  <c r="B50" i="48"/>
  <c r="Z49" i="48"/>
  <c r="V49" i="48"/>
  <c r="T49" i="48"/>
  <c r="P49" i="48"/>
  <c r="X49" i="48" s="1"/>
  <c r="N49" i="48"/>
  <c r="L49" i="48"/>
  <c r="H49" i="48"/>
  <c r="F49" i="48"/>
  <c r="D49" i="48"/>
  <c r="B49" i="48"/>
  <c r="X48" i="48"/>
  <c r="Z48" i="48" s="1"/>
  <c r="V48" i="48"/>
  <c r="L48" i="48"/>
  <c r="N48" i="48" s="1"/>
  <c r="B48" i="48"/>
  <c r="Z47" i="48"/>
  <c r="X47" i="48"/>
  <c r="V47" i="48"/>
  <c r="T47" i="48"/>
  <c r="P47" i="48"/>
  <c r="H47" i="48"/>
  <c r="F47" i="48"/>
  <c r="D47" i="48"/>
  <c r="B47" i="48"/>
  <c r="Z46" i="48"/>
  <c r="X46" i="48"/>
  <c r="N46" i="48"/>
  <c r="L46" i="48"/>
  <c r="F46" i="48"/>
  <c r="B46" i="48"/>
  <c r="V45" i="48"/>
  <c r="T45" i="48"/>
  <c r="P45" i="48"/>
  <c r="N45" i="48"/>
  <c r="H45" i="48"/>
  <c r="F45" i="48"/>
  <c r="D45" i="48"/>
  <c r="L45" i="48" s="1"/>
  <c r="B45" i="48"/>
  <c r="X44" i="48"/>
  <c r="Z44" i="48" s="1"/>
  <c r="L44" i="48"/>
  <c r="N44" i="48" s="1"/>
  <c r="F44" i="48"/>
  <c r="B44" i="48"/>
  <c r="Z43" i="48"/>
  <c r="T43" i="48"/>
  <c r="P43" i="48"/>
  <c r="X43" i="48" s="1"/>
  <c r="N43" i="48"/>
  <c r="H43" i="48"/>
  <c r="D43" i="48"/>
  <c r="L43" i="48" s="1"/>
  <c r="B43" i="48"/>
  <c r="X42" i="48"/>
  <c r="Z42" i="48" s="1"/>
  <c r="N42" i="48"/>
  <c r="L42" i="48"/>
  <c r="F42" i="48"/>
  <c r="B42" i="48"/>
  <c r="Z41" i="48"/>
  <c r="V41" i="48"/>
  <c r="T41" i="48"/>
  <c r="P41" i="48"/>
  <c r="X41" i="48" s="1"/>
  <c r="N41" i="48"/>
  <c r="L41" i="48"/>
  <c r="H41" i="48"/>
  <c r="F41" i="48"/>
  <c r="D41" i="48"/>
  <c r="B41" i="48"/>
  <c r="X40" i="48"/>
  <c r="Z40" i="48" s="1"/>
  <c r="V40" i="48"/>
  <c r="L40" i="48"/>
  <c r="N40" i="48" s="1"/>
  <c r="B40" i="48"/>
  <c r="Z39" i="48"/>
  <c r="X39" i="48"/>
  <c r="V39" i="48"/>
  <c r="T39" i="48"/>
  <c r="P39" i="48"/>
  <c r="H39" i="48"/>
  <c r="F39" i="48"/>
  <c r="D39" i="48"/>
  <c r="B39" i="48"/>
  <c r="Z38" i="48"/>
  <c r="X38" i="48"/>
  <c r="N38" i="48"/>
  <c r="L38" i="48"/>
  <c r="F38" i="48"/>
  <c r="B38" i="48"/>
  <c r="V37" i="48"/>
  <c r="T37" i="48"/>
  <c r="P37" i="48"/>
  <c r="N37" i="48"/>
  <c r="H37" i="48"/>
  <c r="F37" i="48"/>
  <c r="D37" i="48"/>
  <c r="L37" i="48" s="1"/>
  <c r="B37" i="48"/>
  <c r="Z36" i="48"/>
  <c r="X36" i="48"/>
  <c r="N36" i="48"/>
  <c r="L36" i="48"/>
  <c r="F36" i="48"/>
  <c r="B36" i="48"/>
  <c r="Z35" i="48"/>
  <c r="T35" i="48"/>
  <c r="P35" i="48"/>
  <c r="X35" i="48" s="1"/>
  <c r="N35" i="48"/>
  <c r="H35" i="48"/>
  <c r="D35" i="48"/>
  <c r="L35" i="48" s="1"/>
  <c r="B35" i="48"/>
  <c r="X34" i="48"/>
  <c r="Z34" i="48" s="1"/>
  <c r="N34" i="48"/>
  <c r="L34" i="48"/>
  <c r="F34" i="48"/>
  <c r="B34" i="48"/>
  <c r="Z33" i="48"/>
  <c r="X33" i="48"/>
  <c r="V33" i="48"/>
  <c r="L33" i="48"/>
  <c r="N33" i="48" s="1"/>
  <c r="F33" i="48"/>
  <c r="B33" i="48"/>
  <c r="Z32" i="48"/>
  <c r="X32" i="48"/>
  <c r="N32" i="48"/>
  <c r="L32" i="48"/>
  <c r="F32" i="48"/>
  <c r="B32" i="48"/>
  <c r="Z31" i="48"/>
  <c r="X31" i="48"/>
  <c r="N31" i="48"/>
  <c r="L31" i="48"/>
  <c r="B31" i="48"/>
  <c r="Z30" i="48"/>
  <c r="X30" i="48"/>
  <c r="L30" i="48"/>
  <c r="N30" i="48" s="1"/>
  <c r="F30" i="48"/>
  <c r="B30" i="48"/>
  <c r="T29" i="48"/>
  <c r="P29" i="48"/>
  <c r="H29" i="48"/>
  <c r="D29" i="48"/>
  <c r="L29" i="48" s="1"/>
  <c r="N29" i="48" s="1"/>
  <c r="B29" i="48"/>
  <c r="X28" i="48"/>
  <c r="Z28" i="48" s="1"/>
  <c r="L28" i="48"/>
  <c r="N28" i="48" s="1"/>
  <c r="B28" i="48"/>
  <c r="Z27" i="48"/>
  <c r="X27" i="48"/>
  <c r="L27" i="48"/>
  <c r="N27" i="48" s="1"/>
  <c r="B27" i="48"/>
  <c r="Z26" i="48"/>
  <c r="X26" i="48"/>
  <c r="N26" i="48"/>
  <c r="L26" i="48"/>
  <c r="F26" i="48"/>
  <c r="B26" i="48"/>
  <c r="X25" i="48"/>
  <c r="Z25" i="48" s="1"/>
  <c r="V25" i="48"/>
  <c r="N25" i="48"/>
  <c r="L25" i="48"/>
  <c r="B25" i="48"/>
  <c r="X24" i="48"/>
  <c r="Z24" i="48" s="1"/>
  <c r="V24" i="48"/>
  <c r="L24" i="48"/>
  <c r="N24" i="48" s="1"/>
  <c r="B24" i="48"/>
  <c r="Z23" i="48"/>
  <c r="X23" i="48"/>
  <c r="V23" i="48"/>
  <c r="N23" i="48"/>
  <c r="L23" i="48"/>
  <c r="B23" i="48"/>
  <c r="Z22" i="48"/>
  <c r="X22" i="48"/>
  <c r="N22" i="48"/>
  <c r="L22" i="48"/>
  <c r="F22" i="48"/>
  <c r="B22" i="48"/>
  <c r="Z21" i="48"/>
  <c r="X21" i="48"/>
  <c r="V21" i="48"/>
  <c r="L21" i="48"/>
  <c r="N21" i="48" s="1"/>
  <c r="F21" i="48"/>
  <c r="B21" i="48"/>
  <c r="X20" i="48"/>
  <c r="Z20" i="48" s="1"/>
  <c r="T20" i="48"/>
  <c r="P20" i="48"/>
  <c r="L20" i="48"/>
  <c r="N20" i="48" s="1"/>
  <c r="H20" i="48"/>
  <c r="D20" i="48"/>
  <c r="B20" i="48"/>
  <c r="Z19" i="48"/>
  <c r="X19" i="48"/>
  <c r="V19" i="48"/>
  <c r="T19" i="48"/>
  <c r="P19" i="48"/>
  <c r="H19" i="48"/>
  <c r="F19" i="48"/>
  <c r="D19" i="48"/>
  <c r="Z15" i="48"/>
  <c r="X15" i="48"/>
  <c r="V15" i="48"/>
  <c r="T15" i="48"/>
  <c r="P15" i="48"/>
  <c r="H15" i="48"/>
  <c r="N15" i="48" s="1"/>
  <c r="F15" i="48"/>
  <c r="D15" i="48"/>
  <c r="T13" i="48"/>
  <c r="P13" i="48"/>
  <c r="X13" i="48" s="1"/>
  <c r="Z13" i="48" s="1"/>
  <c r="H13" i="48"/>
  <c r="H12" i="48" s="1"/>
  <c r="D13" i="48"/>
  <c r="B13" i="48"/>
  <c r="T12" i="48"/>
  <c r="V50" i="48" s="1"/>
  <c r="P12" i="48"/>
  <c r="D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33" i="47" s="1"/>
  <c r="P12" i="47"/>
  <c r="R33" i="47" s="1"/>
  <c r="H12" i="47"/>
  <c r="J29" i="47" s="1"/>
  <c r="D12" i="47"/>
  <c r="F29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D20" i="46"/>
  <c r="T16" i="46"/>
  <c r="Z16" i="46" s="1"/>
  <c r="P16" i="46"/>
  <c r="H16" i="46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P12" i="46"/>
  <c r="R31" i="46" s="1"/>
  <c r="H12" i="46"/>
  <c r="J15" i="46" s="1"/>
  <c r="D12" i="46"/>
  <c r="F24" i="46" s="1"/>
  <c r="D5" i="46"/>
  <c r="D4" i="46"/>
  <c r="Z85" i="45"/>
  <c r="X85" i="45"/>
  <c r="L85" i="45"/>
  <c r="N85" i="45" s="1"/>
  <c r="Z81" i="45"/>
  <c r="X81" i="45"/>
  <c r="T81" i="45"/>
  <c r="P81" i="45"/>
  <c r="N81" i="45"/>
  <c r="H81" i="45"/>
  <c r="D81" i="45"/>
  <c r="Z79" i="45"/>
  <c r="X79" i="45"/>
  <c r="N79" i="45"/>
  <c r="L79" i="45"/>
  <c r="B79" i="45"/>
  <c r="Z78" i="45"/>
  <c r="T78" i="45"/>
  <c r="X78" i="45" s="1"/>
  <c r="P78" i="45"/>
  <c r="H78" i="45"/>
  <c r="N78" i="45" s="1"/>
  <c r="D78" i="45"/>
  <c r="L78" i="45" s="1"/>
  <c r="B78" i="45"/>
  <c r="X77" i="45"/>
  <c r="Z77" i="45" s="1"/>
  <c r="N77" i="45"/>
  <c r="L77" i="45"/>
  <c r="B77" i="45"/>
  <c r="T76" i="45"/>
  <c r="P76" i="45"/>
  <c r="N76" i="45"/>
  <c r="H76" i="45"/>
  <c r="D76" i="45"/>
  <c r="L76" i="45" s="1"/>
  <c r="B76" i="45"/>
  <c r="X75" i="45"/>
  <c r="Z75" i="45" s="1"/>
  <c r="L75" i="45"/>
  <c r="N75" i="45" s="1"/>
  <c r="B75" i="45"/>
  <c r="T74" i="45"/>
  <c r="Z74" i="45" s="1"/>
  <c r="P74" i="45"/>
  <c r="X74" i="45" s="1"/>
  <c r="H74" i="45"/>
  <c r="D74" i="45"/>
  <c r="L74" i="45" s="1"/>
  <c r="N74" i="45" s="1"/>
  <c r="B74" i="45"/>
  <c r="Z73" i="45"/>
  <c r="X73" i="45"/>
  <c r="L73" i="45"/>
  <c r="N73" i="45" s="1"/>
  <c r="B73" i="45"/>
  <c r="X72" i="45"/>
  <c r="Z72" i="45" s="1"/>
  <c r="L72" i="45"/>
  <c r="N72" i="45" s="1"/>
  <c r="B72" i="45"/>
  <c r="Z71" i="45"/>
  <c r="X71" i="45"/>
  <c r="N71" i="45"/>
  <c r="L71" i="45"/>
  <c r="B71" i="45"/>
  <c r="Z70" i="45"/>
  <c r="X70" i="45"/>
  <c r="L70" i="45"/>
  <c r="N70" i="45" s="1"/>
  <c r="B70" i="45"/>
  <c r="X69" i="45"/>
  <c r="Z69" i="45" s="1"/>
  <c r="N69" i="45"/>
  <c r="L69" i="45"/>
  <c r="B69" i="45"/>
  <c r="X68" i="45"/>
  <c r="Z68" i="45" s="1"/>
  <c r="L68" i="45"/>
  <c r="N68" i="45" s="1"/>
  <c r="B68" i="45"/>
  <c r="T67" i="45"/>
  <c r="P67" i="45"/>
  <c r="X67" i="45" s="1"/>
  <c r="Z67" i="45" s="1"/>
  <c r="H67" i="45"/>
  <c r="D67" i="45"/>
  <c r="L67" i="45" s="1"/>
  <c r="B67" i="45"/>
  <c r="Z66" i="45"/>
  <c r="X66" i="45"/>
  <c r="L66" i="45"/>
  <c r="N66" i="45" s="1"/>
  <c r="B66" i="45"/>
  <c r="X65" i="45"/>
  <c r="Z65" i="45" s="1"/>
  <c r="N65" i="45"/>
  <c r="L65" i="45"/>
  <c r="B65" i="45"/>
  <c r="X64" i="45"/>
  <c r="Z64" i="45" s="1"/>
  <c r="L64" i="45"/>
  <c r="N64" i="45" s="1"/>
  <c r="B64" i="45"/>
  <c r="T63" i="45"/>
  <c r="P63" i="45"/>
  <c r="X63" i="45" s="1"/>
  <c r="Z63" i="45" s="1"/>
  <c r="H63" i="45"/>
  <c r="D63" i="45"/>
  <c r="L63" i="45" s="1"/>
  <c r="B63" i="45"/>
  <c r="Z62" i="45"/>
  <c r="X62" i="45"/>
  <c r="N62" i="45"/>
  <c r="L62" i="45"/>
  <c r="B62" i="45"/>
  <c r="X61" i="45"/>
  <c r="Z61" i="45" s="1"/>
  <c r="N61" i="45"/>
  <c r="L61" i="45"/>
  <c r="B61" i="45"/>
  <c r="Z60" i="45"/>
  <c r="X60" i="45"/>
  <c r="N60" i="45"/>
  <c r="L60" i="45"/>
  <c r="B60" i="45"/>
  <c r="T59" i="45"/>
  <c r="P59" i="45"/>
  <c r="X59" i="45" s="1"/>
  <c r="Z59" i="45" s="1"/>
  <c r="H59" i="45"/>
  <c r="D59" i="45"/>
  <c r="B59" i="45"/>
  <c r="Z58" i="45"/>
  <c r="X58" i="45"/>
  <c r="L58" i="45"/>
  <c r="N58" i="45" s="1"/>
  <c r="B58" i="45"/>
  <c r="T57" i="45"/>
  <c r="P57" i="45"/>
  <c r="L57" i="45"/>
  <c r="N57" i="45" s="1"/>
  <c r="H57" i="45"/>
  <c r="D57" i="45"/>
  <c r="B57" i="45"/>
  <c r="X56" i="45"/>
  <c r="Z56" i="45" s="1"/>
  <c r="L56" i="45"/>
  <c r="N56" i="45" s="1"/>
  <c r="B56" i="45"/>
  <c r="X55" i="45"/>
  <c r="Z55" i="45" s="1"/>
  <c r="T55" i="45"/>
  <c r="P55" i="45"/>
  <c r="N55" i="45"/>
  <c r="H55" i="45"/>
  <c r="L55" i="45" s="1"/>
  <c r="D55" i="45"/>
  <c r="B55" i="45"/>
  <c r="X54" i="45"/>
  <c r="Z54" i="45" s="1"/>
  <c r="N54" i="45"/>
  <c r="L54" i="45"/>
  <c r="B54" i="45"/>
  <c r="Z53" i="45"/>
  <c r="T53" i="45"/>
  <c r="X53" i="45" s="1"/>
  <c r="P53" i="45"/>
  <c r="N53" i="45"/>
  <c r="L53" i="45"/>
  <c r="H53" i="45"/>
  <c r="D53" i="45"/>
  <c r="B53" i="45"/>
  <c r="X52" i="45"/>
  <c r="Z52" i="45" s="1"/>
  <c r="L52" i="45"/>
  <c r="N52" i="45" s="1"/>
  <c r="B52" i="45"/>
  <c r="T51" i="45"/>
  <c r="P51" i="45"/>
  <c r="X51" i="45" s="1"/>
  <c r="Z51" i="45" s="1"/>
  <c r="H51" i="45"/>
  <c r="D51" i="45"/>
  <c r="B51" i="45"/>
  <c r="Z50" i="45"/>
  <c r="X50" i="45"/>
  <c r="L50" i="45"/>
  <c r="N50" i="45" s="1"/>
  <c r="B50" i="45"/>
  <c r="T49" i="45"/>
  <c r="P49" i="45"/>
  <c r="L49" i="45"/>
  <c r="N49" i="45" s="1"/>
  <c r="H49" i="45"/>
  <c r="D49" i="45"/>
  <c r="B49" i="45"/>
  <c r="X48" i="45"/>
  <c r="Z48" i="45" s="1"/>
  <c r="L48" i="45"/>
  <c r="N48" i="45" s="1"/>
  <c r="B48" i="45"/>
  <c r="X47" i="45"/>
  <c r="Z47" i="45" s="1"/>
  <c r="T47" i="45"/>
  <c r="P47" i="45"/>
  <c r="N47" i="45"/>
  <c r="L47" i="45"/>
  <c r="H47" i="45"/>
  <c r="D47" i="45"/>
  <c r="B47" i="45"/>
  <c r="Z46" i="45"/>
  <c r="X46" i="45"/>
  <c r="N46" i="45"/>
  <c r="L46" i="45"/>
  <c r="B46" i="45"/>
  <c r="Z45" i="45"/>
  <c r="T45" i="45"/>
  <c r="X45" i="45" s="1"/>
  <c r="P45" i="45"/>
  <c r="H45" i="45"/>
  <c r="N45" i="45" s="1"/>
  <c r="D45" i="45"/>
  <c r="L45" i="45" s="1"/>
  <c r="B45" i="45"/>
  <c r="X44" i="45"/>
  <c r="Z44" i="45" s="1"/>
  <c r="L44" i="45"/>
  <c r="N44" i="45" s="1"/>
  <c r="B44" i="45"/>
  <c r="T43" i="45"/>
  <c r="P43" i="45"/>
  <c r="X43" i="45" s="1"/>
  <c r="H43" i="45"/>
  <c r="D43" i="45"/>
  <c r="B43" i="45"/>
  <c r="Z42" i="45"/>
  <c r="X42" i="45"/>
  <c r="L42" i="45"/>
  <c r="N42" i="45" s="1"/>
  <c r="B42" i="45"/>
  <c r="T41" i="45"/>
  <c r="X41" i="45" s="1"/>
  <c r="P41" i="45"/>
  <c r="L41" i="45"/>
  <c r="H41" i="45"/>
  <c r="N41" i="45" s="1"/>
  <c r="D41" i="45"/>
  <c r="B41" i="45"/>
  <c r="X40" i="45"/>
  <c r="Z40" i="45" s="1"/>
  <c r="N40" i="45"/>
  <c r="L40" i="45"/>
  <c r="B40" i="45"/>
  <c r="X39" i="45"/>
  <c r="Z39" i="45" s="1"/>
  <c r="N39" i="45"/>
  <c r="L39" i="45"/>
  <c r="B39" i="45"/>
  <c r="Z38" i="45"/>
  <c r="X38" i="45"/>
  <c r="L38" i="45"/>
  <c r="N38" i="45" s="1"/>
  <c r="B38" i="45"/>
  <c r="X37" i="45"/>
  <c r="Z37" i="45" s="1"/>
  <c r="L37" i="45"/>
  <c r="N37" i="45" s="1"/>
  <c r="B37" i="45"/>
  <c r="Z36" i="45"/>
  <c r="X36" i="45"/>
  <c r="N36" i="45"/>
  <c r="L36" i="45"/>
  <c r="B36" i="45"/>
  <c r="X35" i="45"/>
  <c r="Z35" i="45" s="1"/>
  <c r="L35" i="45"/>
  <c r="N35" i="45" s="1"/>
  <c r="B35" i="45"/>
  <c r="Z34" i="45"/>
  <c r="X34" i="45"/>
  <c r="T34" i="45"/>
  <c r="P34" i="45"/>
  <c r="H34" i="45"/>
  <c r="D34" i="45"/>
  <c r="L34" i="45" s="1"/>
  <c r="N34" i="45" s="1"/>
  <c r="B34" i="45"/>
  <c r="X33" i="45"/>
  <c r="Z33" i="45" s="1"/>
  <c r="L33" i="45"/>
  <c r="N33" i="45" s="1"/>
  <c r="B33" i="45"/>
  <c r="Z32" i="45"/>
  <c r="X32" i="45"/>
  <c r="N32" i="45"/>
  <c r="L32" i="45"/>
  <c r="B32" i="45"/>
  <c r="X31" i="45"/>
  <c r="Z31" i="45" s="1"/>
  <c r="L31" i="45"/>
  <c r="N31" i="45" s="1"/>
  <c r="B31" i="45"/>
  <c r="Z30" i="45"/>
  <c r="X30" i="45"/>
  <c r="N30" i="45"/>
  <c r="L30" i="45"/>
  <c r="B30" i="45"/>
  <c r="X29" i="45"/>
  <c r="Z29" i="45" s="1"/>
  <c r="L29" i="45"/>
  <c r="N29" i="45" s="1"/>
  <c r="B29" i="45"/>
  <c r="Z28" i="45"/>
  <c r="X28" i="45"/>
  <c r="N28" i="45"/>
  <c r="L28" i="45"/>
  <c r="B28" i="45"/>
  <c r="X27" i="45"/>
  <c r="Z27" i="45" s="1"/>
  <c r="L27" i="45"/>
  <c r="N27" i="45" s="1"/>
  <c r="B27" i="45"/>
  <c r="Z26" i="45"/>
  <c r="X26" i="45"/>
  <c r="N26" i="45"/>
  <c r="L26" i="45"/>
  <c r="B26" i="45"/>
  <c r="X25" i="45"/>
  <c r="Z25" i="45" s="1"/>
  <c r="L25" i="45"/>
  <c r="N25" i="45" s="1"/>
  <c r="B25" i="45"/>
  <c r="T24" i="45"/>
  <c r="P24" i="45"/>
  <c r="X24" i="45" s="1"/>
  <c r="H24" i="45"/>
  <c r="D24" i="45"/>
  <c r="L24" i="45" s="1"/>
  <c r="N24" i="45" s="1"/>
  <c r="B24" i="45"/>
  <c r="T23" i="45"/>
  <c r="P23" i="45"/>
  <c r="X23" i="45" s="1"/>
  <c r="H23" i="45"/>
  <c r="N23" i="45" s="1"/>
  <c r="D23" i="45"/>
  <c r="L23" i="45" s="1"/>
  <c r="X19" i="45"/>
  <c r="Z19" i="45" s="1"/>
  <c r="L19" i="45"/>
  <c r="N19" i="45" s="1"/>
  <c r="B19" i="45"/>
  <c r="Z18" i="45"/>
  <c r="X18" i="45"/>
  <c r="N18" i="45"/>
  <c r="L18" i="45"/>
  <c r="B18" i="45"/>
  <c r="T17" i="45"/>
  <c r="P17" i="45"/>
  <c r="L17" i="45"/>
  <c r="H17" i="45"/>
  <c r="N17" i="45" s="1"/>
  <c r="D17" i="45"/>
  <c r="T15" i="45"/>
  <c r="P15" i="45"/>
  <c r="X15" i="45" s="1"/>
  <c r="Z15" i="45" s="1"/>
  <c r="H15" i="45"/>
  <c r="D15" i="45"/>
  <c r="L15" i="45" s="1"/>
  <c r="N15" i="45" s="1"/>
  <c r="B15" i="45"/>
  <c r="T14" i="45"/>
  <c r="T12" i="45" s="1"/>
  <c r="P14" i="45"/>
  <c r="X14" i="45" s="1"/>
  <c r="H14" i="45"/>
  <c r="D14" i="45"/>
  <c r="L14" i="45" s="1"/>
  <c r="B14" i="45"/>
  <c r="X13" i="45"/>
  <c r="T13" i="45"/>
  <c r="Z13" i="45" s="1"/>
  <c r="P13" i="45"/>
  <c r="P12" i="45" s="1"/>
  <c r="L13" i="45"/>
  <c r="H13" i="45"/>
  <c r="N13" i="45" s="1"/>
  <c r="D13" i="45"/>
  <c r="D12" i="45" s="1"/>
  <c r="B13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34" i="44" s="1"/>
  <c r="P12" i="44"/>
  <c r="R36" i="44" s="1"/>
  <c r="H12" i="44"/>
  <c r="J34" i="44" s="1"/>
  <c r="D12" i="44"/>
  <c r="F21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P13" i="43"/>
  <c r="H13" i="43"/>
  <c r="D13" i="43"/>
  <c r="B13" i="43"/>
  <c r="T12" i="43"/>
  <c r="V22" i="43" s="1"/>
  <c r="P12" i="43"/>
  <c r="H12" i="43"/>
  <c r="J20" i="43" s="1"/>
  <c r="D12" i="43"/>
  <c r="F22" i="43" s="1"/>
  <c r="D5" i="43"/>
  <c r="D4" i="43"/>
  <c r="X93" i="42"/>
  <c r="Z93" i="42" s="1"/>
  <c r="L93" i="42"/>
  <c r="N93" i="42" s="1"/>
  <c r="X89" i="42"/>
  <c r="T89" i="42"/>
  <c r="Z89" i="42" s="1"/>
  <c r="P89" i="42"/>
  <c r="H89" i="42"/>
  <c r="N89" i="42" s="1"/>
  <c r="D89" i="42"/>
  <c r="L89" i="42" s="1"/>
  <c r="B89" i="42"/>
  <c r="Z88" i="42"/>
  <c r="X88" i="42"/>
  <c r="T88" i="42"/>
  <c r="P88" i="42"/>
  <c r="N88" i="42"/>
  <c r="L88" i="42"/>
  <c r="H88" i="42"/>
  <c r="D88" i="42"/>
  <c r="B88" i="42"/>
  <c r="T87" i="42"/>
  <c r="P87" i="42"/>
  <c r="P86" i="42" s="1"/>
  <c r="L87" i="42"/>
  <c r="H87" i="42"/>
  <c r="N87" i="42" s="1"/>
  <c r="D87" i="42"/>
  <c r="D86" i="42" s="1"/>
  <c r="B87" i="42"/>
  <c r="Z84" i="42"/>
  <c r="X84" i="42"/>
  <c r="N84" i="42"/>
  <c r="L84" i="42"/>
  <c r="B84" i="42"/>
  <c r="T83" i="42"/>
  <c r="P83" i="42"/>
  <c r="X83" i="42" s="1"/>
  <c r="H83" i="42"/>
  <c r="D83" i="42"/>
  <c r="L83" i="42" s="1"/>
  <c r="B83" i="42"/>
  <c r="Z82" i="42"/>
  <c r="X82" i="42"/>
  <c r="N82" i="42"/>
  <c r="L82" i="42"/>
  <c r="B82" i="42"/>
  <c r="T81" i="42"/>
  <c r="P81" i="42"/>
  <c r="X81" i="42" s="1"/>
  <c r="L81" i="42"/>
  <c r="H81" i="42"/>
  <c r="N81" i="42" s="1"/>
  <c r="D81" i="42"/>
  <c r="B81" i="42"/>
  <c r="Z80" i="42"/>
  <c r="X80" i="42"/>
  <c r="N80" i="42"/>
  <c r="L80" i="42"/>
  <c r="B80" i="42"/>
  <c r="X79" i="42"/>
  <c r="T79" i="42"/>
  <c r="Z79" i="42" s="1"/>
  <c r="P79" i="42"/>
  <c r="H79" i="42"/>
  <c r="D79" i="42"/>
  <c r="L79" i="42" s="1"/>
  <c r="B79" i="42"/>
  <c r="Z78" i="42"/>
  <c r="X78" i="42"/>
  <c r="N78" i="42"/>
  <c r="L78" i="42"/>
  <c r="B78" i="42"/>
  <c r="Z77" i="42"/>
  <c r="X77" i="42"/>
  <c r="N77" i="42"/>
  <c r="L77" i="42"/>
  <c r="B77" i="42"/>
  <c r="X76" i="42"/>
  <c r="Z76" i="42" s="1"/>
  <c r="L76" i="42"/>
  <c r="N76" i="42" s="1"/>
  <c r="B76" i="42"/>
  <c r="Z75" i="42"/>
  <c r="X75" i="42"/>
  <c r="N75" i="42"/>
  <c r="L75" i="42"/>
  <c r="B75" i="42"/>
  <c r="Z74" i="42"/>
  <c r="X74" i="42"/>
  <c r="N74" i="42"/>
  <c r="L74" i="42"/>
  <c r="B74" i="42"/>
  <c r="X73" i="42"/>
  <c r="Z73" i="42" s="1"/>
  <c r="L73" i="42"/>
  <c r="N73" i="42" s="1"/>
  <c r="B73" i="42"/>
  <c r="X72" i="42"/>
  <c r="Z72" i="42" s="1"/>
  <c r="L72" i="42"/>
  <c r="N72" i="42" s="1"/>
  <c r="B72" i="42"/>
  <c r="T71" i="42"/>
  <c r="P71" i="42"/>
  <c r="X71" i="42" s="1"/>
  <c r="H71" i="42"/>
  <c r="D71" i="42"/>
  <c r="L71" i="42" s="1"/>
  <c r="B71" i="42"/>
  <c r="Z70" i="42"/>
  <c r="X70" i="42"/>
  <c r="N70" i="42"/>
  <c r="L70" i="42"/>
  <c r="B70" i="42"/>
  <c r="T69" i="42"/>
  <c r="P69" i="42"/>
  <c r="X69" i="42" s="1"/>
  <c r="L69" i="42"/>
  <c r="H69" i="42"/>
  <c r="N69" i="42" s="1"/>
  <c r="D69" i="42"/>
  <c r="B69" i="42"/>
  <c r="Z68" i="42"/>
  <c r="X68" i="42"/>
  <c r="N68" i="42"/>
  <c r="L68" i="42"/>
  <c r="B68" i="42"/>
  <c r="X67" i="42"/>
  <c r="Z67" i="42" s="1"/>
  <c r="L67" i="42"/>
  <c r="N67" i="42" s="1"/>
  <c r="B67" i="42"/>
  <c r="Z66" i="42"/>
  <c r="X66" i="42"/>
  <c r="N66" i="42"/>
  <c r="L66" i="42"/>
  <c r="B66" i="42"/>
  <c r="X65" i="42"/>
  <c r="Z65" i="42" s="1"/>
  <c r="L65" i="42"/>
  <c r="N65" i="42" s="1"/>
  <c r="B65" i="42"/>
  <c r="T64" i="42"/>
  <c r="P64" i="42"/>
  <c r="X64" i="42" s="1"/>
  <c r="N64" i="42"/>
  <c r="L64" i="42"/>
  <c r="H64" i="42"/>
  <c r="D64" i="42"/>
  <c r="B64" i="42"/>
  <c r="X63" i="42"/>
  <c r="Z63" i="42" s="1"/>
  <c r="L63" i="42"/>
  <c r="N63" i="42" s="1"/>
  <c r="B63" i="42"/>
  <c r="Z62" i="42"/>
  <c r="X62" i="42"/>
  <c r="L62" i="42"/>
  <c r="N62" i="42" s="1"/>
  <c r="B62" i="42"/>
  <c r="Z61" i="42"/>
  <c r="X61" i="42"/>
  <c r="N61" i="42"/>
  <c r="L61" i="42"/>
  <c r="B61" i="42"/>
  <c r="T60" i="42"/>
  <c r="Z60" i="42" s="1"/>
  <c r="P60" i="42"/>
  <c r="X60" i="42" s="1"/>
  <c r="H60" i="42"/>
  <c r="D60" i="42"/>
  <c r="L60" i="42" s="1"/>
  <c r="N60" i="42" s="1"/>
  <c r="B60" i="42"/>
  <c r="Z59" i="42"/>
  <c r="X59" i="42"/>
  <c r="N59" i="42"/>
  <c r="L59" i="42"/>
  <c r="B59" i="42"/>
  <c r="Z58" i="42"/>
  <c r="T58" i="42"/>
  <c r="P58" i="42"/>
  <c r="X58" i="42" s="1"/>
  <c r="H58" i="42"/>
  <c r="N58" i="42" s="1"/>
  <c r="D58" i="42"/>
  <c r="L58" i="42" s="1"/>
  <c r="B58" i="42"/>
  <c r="Z57" i="42"/>
  <c r="X57" i="42"/>
  <c r="N57" i="42"/>
  <c r="L57" i="42"/>
  <c r="B57" i="42"/>
  <c r="T56" i="42"/>
  <c r="P56" i="42"/>
  <c r="X56" i="42" s="1"/>
  <c r="L56" i="42"/>
  <c r="H56" i="42"/>
  <c r="N56" i="42" s="1"/>
  <c r="D56" i="42"/>
  <c r="B56" i="42"/>
  <c r="Z55" i="42"/>
  <c r="X55" i="42"/>
  <c r="L55" i="42"/>
  <c r="N55" i="42" s="1"/>
  <c r="B55" i="42"/>
  <c r="T54" i="42"/>
  <c r="P54" i="42"/>
  <c r="X54" i="42" s="1"/>
  <c r="H54" i="42"/>
  <c r="D54" i="42"/>
  <c r="L54" i="42" s="1"/>
  <c r="B54" i="42"/>
  <c r="X53" i="42"/>
  <c r="Z53" i="42" s="1"/>
  <c r="N53" i="42"/>
  <c r="L53" i="42"/>
  <c r="B53" i="42"/>
  <c r="Z52" i="42"/>
  <c r="X52" i="42"/>
  <c r="T52" i="42"/>
  <c r="P52" i="42"/>
  <c r="N52" i="42"/>
  <c r="L52" i="42"/>
  <c r="H52" i="42"/>
  <c r="D52" i="42"/>
  <c r="B52" i="42"/>
  <c r="X51" i="42"/>
  <c r="Z51" i="42" s="1"/>
  <c r="N51" i="42"/>
  <c r="L51" i="42"/>
  <c r="B51" i="42"/>
  <c r="Z50" i="42"/>
  <c r="X50" i="42"/>
  <c r="T50" i="42"/>
  <c r="P50" i="42"/>
  <c r="H50" i="42"/>
  <c r="D50" i="42"/>
  <c r="L50" i="42" s="1"/>
  <c r="B50" i="42"/>
  <c r="Z49" i="42"/>
  <c r="X49" i="42"/>
  <c r="N49" i="42"/>
  <c r="L49" i="42"/>
  <c r="B49" i="42"/>
  <c r="T48" i="42"/>
  <c r="Z48" i="42" s="1"/>
  <c r="P48" i="42"/>
  <c r="X48" i="42" s="1"/>
  <c r="H48" i="42"/>
  <c r="N48" i="42" s="1"/>
  <c r="D48" i="42"/>
  <c r="L48" i="42" s="1"/>
  <c r="B48" i="42"/>
  <c r="Z47" i="42"/>
  <c r="X47" i="42"/>
  <c r="N47" i="42"/>
  <c r="L47" i="42"/>
  <c r="B47" i="42"/>
  <c r="X46" i="42"/>
  <c r="Z46" i="42" s="1"/>
  <c r="L46" i="42"/>
  <c r="N46" i="42" s="1"/>
  <c r="B46" i="42"/>
  <c r="T45" i="42"/>
  <c r="Z45" i="42" s="1"/>
  <c r="P45" i="42"/>
  <c r="X45" i="42" s="1"/>
  <c r="H45" i="42"/>
  <c r="D45" i="42"/>
  <c r="L45" i="42" s="1"/>
  <c r="N45" i="42" s="1"/>
  <c r="B45" i="42"/>
  <c r="X44" i="42"/>
  <c r="Z44" i="42" s="1"/>
  <c r="L44" i="42"/>
  <c r="N44" i="42" s="1"/>
  <c r="B44" i="42"/>
  <c r="T43" i="42"/>
  <c r="P43" i="42"/>
  <c r="X43" i="42" s="1"/>
  <c r="Z43" i="42" s="1"/>
  <c r="L43" i="42"/>
  <c r="H43" i="42"/>
  <c r="N43" i="42" s="1"/>
  <c r="D43" i="42"/>
  <c r="B43" i="42"/>
  <c r="X42" i="42"/>
  <c r="Z42" i="42" s="1"/>
  <c r="L42" i="42"/>
  <c r="N42" i="42" s="1"/>
  <c r="B42" i="42"/>
  <c r="T41" i="42"/>
  <c r="P41" i="42"/>
  <c r="H41" i="42"/>
  <c r="D41" i="42"/>
  <c r="L41" i="42" s="1"/>
  <c r="B41" i="42"/>
  <c r="X40" i="42"/>
  <c r="Z40" i="42" s="1"/>
  <c r="N40" i="42"/>
  <c r="L40" i="42"/>
  <c r="B40" i="42"/>
  <c r="T39" i="42"/>
  <c r="Z39" i="42" s="1"/>
  <c r="P39" i="42"/>
  <c r="X39" i="42" s="1"/>
  <c r="H39" i="42"/>
  <c r="N39" i="42" s="1"/>
  <c r="D39" i="42"/>
  <c r="B39" i="42"/>
  <c r="Z38" i="42"/>
  <c r="X38" i="42"/>
  <c r="N38" i="42"/>
  <c r="L38" i="42"/>
  <c r="B38" i="42"/>
  <c r="X37" i="42"/>
  <c r="Z37" i="42" s="1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B35" i="42"/>
  <c r="Z34" i="42"/>
  <c r="X34" i="42"/>
  <c r="L34" i="42"/>
  <c r="N34" i="42" s="1"/>
  <c r="B34" i="42"/>
  <c r="T33" i="42"/>
  <c r="P33" i="42"/>
  <c r="X33" i="42" s="1"/>
  <c r="H33" i="42"/>
  <c r="N33" i="42" s="1"/>
  <c r="D33" i="42"/>
  <c r="L33" i="42" s="1"/>
  <c r="B33" i="42"/>
  <c r="X32" i="42"/>
  <c r="Z32" i="42" s="1"/>
  <c r="N32" i="42"/>
  <c r="L32" i="42"/>
  <c r="B32" i="42"/>
  <c r="X31" i="42"/>
  <c r="Z31" i="42" s="1"/>
  <c r="L31" i="42"/>
  <c r="N31" i="42" s="1"/>
  <c r="B31" i="42"/>
  <c r="Z30" i="42"/>
  <c r="X30" i="42"/>
  <c r="N30" i="42"/>
  <c r="L30" i="42"/>
  <c r="B30" i="42"/>
  <c r="Z29" i="42"/>
  <c r="X29" i="42"/>
  <c r="L29" i="42"/>
  <c r="N29" i="42" s="1"/>
  <c r="B29" i="42"/>
  <c r="X28" i="42"/>
  <c r="Z28" i="42" s="1"/>
  <c r="L28" i="42"/>
  <c r="N28" i="42" s="1"/>
  <c r="B28" i="42"/>
  <c r="Z27" i="42"/>
  <c r="X27" i="42"/>
  <c r="N27" i="42"/>
  <c r="L27" i="42"/>
  <c r="B27" i="42"/>
  <c r="X26" i="42"/>
  <c r="Z26" i="42" s="1"/>
  <c r="L26" i="42"/>
  <c r="N26" i="42" s="1"/>
  <c r="B26" i="42"/>
  <c r="X25" i="42"/>
  <c r="Z25" i="42" s="1"/>
  <c r="N25" i="42"/>
  <c r="L25" i="42"/>
  <c r="B25" i="42"/>
  <c r="T24" i="42"/>
  <c r="P24" i="42"/>
  <c r="X24" i="42" s="1"/>
  <c r="H24" i="42"/>
  <c r="N24" i="42" s="1"/>
  <c r="D24" i="42"/>
  <c r="L24" i="42" s="1"/>
  <c r="B24" i="42"/>
  <c r="T23" i="42"/>
  <c r="P23" i="42"/>
  <c r="X23" i="42" s="1"/>
  <c r="H23" i="42"/>
  <c r="N23" i="42" s="1"/>
  <c r="D23" i="42"/>
  <c r="L23" i="42" s="1"/>
  <c r="X19" i="42"/>
  <c r="Z19" i="42" s="1"/>
  <c r="L19" i="42"/>
  <c r="N19" i="42" s="1"/>
  <c r="B19" i="42"/>
  <c r="Z18" i="42"/>
  <c r="X18" i="42"/>
  <c r="N18" i="42"/>
  <c r="L18" i="42"/>
  <c r="B18" i="42"/>
  <c r="X17" i="42"/>
  <c r="T17" i="42"/>
  <c r="Z17" i="42" s="1"/>
  <c r="P17" i="42"/>
  <c r="H17" i="42"/>
  <c r="D17" i="42"/>
  <c r="T15" i="42"/>
  <c r="Z15" i="42" s="1"/>
  <c r="P15" i="42"/>
  <c r="X15" i="42" s="1"/>
  <c r="L15" i="42"/>
  <c r="H15" i="42"/>
  <c r="D15" i="42"/>
  <c r="B15" i="42"/>
  <c r="T14" i="42"/>
  <c r="P14" i="42"/>
  <c r="N14" i="42"/>
  <c r="H14" i="42"/>
  <c r="H12" i="42" s="1"/>
  <c r="D14" i="42"/>
  <c r="L14" i="42" s="1"/>
  <c r="B14" i="42"/>
  <c r="T13" i="42"/>
  <c r="P13" i="42"/>
  <c r="L13" i="42"/>
  <c r="H13" i="42"/>
  <c r="N13" i="42" s="1"/>
  <c r="D13" i="42"/>
  <c r="D12" i="42" s="1"/>
  <c r="B13" i="42"/>
  <c r="T12" i="42"/>
  <c r="V18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D13" i="41"/>
  <c r="B13" i="41"/>
  <c r="T12" i="41"/>
  <c r="V21" i="41" s="1"/>
  <c r="P12" i="41"/>
  <c r="R18" i="41" s="1"/>
  <c r="H12" i="41"/>
  <c r="J24" i="41" s="1"/>
  <c r="D12" i="41"/>
  <c r="F20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1" i="40" s="1"/>
  <c r="P12" i="40"/>
  <c r="H12" i="40"/>
  <c r="D12" i="40"/>
  <c r="F21" i="40" s="1"/>
  <c r="D5" i="40"/>
  <c r="D4" i="40"/>
  <c r="X103" i="39"/>
  <c r="Z103" i="39" s="1"/>
  <c r="L103" i="39"/>
  <c r="N103" i="39" s="1"/>
  <c r="X99" i="39"/>
  <c r="T99" i="39"/>
  <c r="Z99" i="39" s="1"/>
  <c r="P99" i="39"/>
  <c r="H99" i="39"/>
  <c r="N99" i="39" s="1"/>
  <c r="D99" i="39"/>
  <c r="L99" i="39" s="1"/>
  <c r="B99" i="39"/>
  <c r="X98" i="39"/>
  <c r="T98" i="39"/>
  <c r="Z98" i="39" s="1"/>
  <c r="P98" i="39"/>
  <c r="L98" i="39"/>
  <c r="H98" i="39"/>
  <c r="N98" i="39" s="1"/>
  <c r="D98" i="39"/>
  <c r="B98" i="39"/>
  <c r="T97" i="39"/>
  <c r="P97" i="39"/>
  <c r="X97" i="39" s="1"/>
  <c r="Z97" i="39" s="1"/>
  <c r="L97" i="39"/>
  <c r="H97" i="39"/>
  <c r="N97" i="39" s="1"/>
  <c r="D97" i="39"/>
  <c r="B97" i="39"/>
  <c r="T96" i="39"/>
  <c r="Z96" i="39" s="1"/>
  <c r="P96" i="39"/>
  <c r="X96" i="39" s="1"/>
  <c r="L96" i="39"/>
  <c r="H96" i="39"/>
  <c r="N96" i="39" s="1"/>
  <c r="D96" i="39"/>
  <c r="X94" i="39"/>
  <c r="Z94" i="39" s="1"/>
  <c r="L94" i="39"/>
  <c r="N94" i="39" s="1"/>
  <c r="B94" i="39"/>
  <c r="T93" i="39"/>
  <c r="P93" i="39"/>
  <c r="X93" i="39" s="1"/>
  <c r="Z93" i="39" s="1"/>
  <c r="L93" i="39"/>
  <c r="N93" i="39" s="1"/>
  <c r="H93" i="39"/>
  <c r="D93" i="39"/>
  <c r="B93" i="39"/>
  <c r="Z92" i="39"/>
  <c r="X92" i="39"/>
  <c r="N92" i="39"/>
  <c r="L92" i="39"/>
  <c r="B92" i="39"/>
  <c r="T91" i="39"/>
  <c r="Z91" i="39" s="1"/>
  <c r="P91" i="39"/>
  <c r="X91" i="39" s="1"/>
  <c r="L91" i="39"/>
  <c r="H91" i="39"/>
  <c r="N91" i="39" s="1"/>
  <c r="D91" i="39"/>
  <c r="B91" i="39"/>
  <c r="X90" i="39"/>
  <c r="Z90" i="39" s="1"/>
  <c r="L90" i="39"/>
  <c r="N90" i="39" s="1"/>
  <c r="B90" i="39"/>
  <c r="X89" i="39"/>
  <c r="T89" i="39"/>
  <c r="Z89" i="39" s="1"/>
  <c r="P89" i="39"/>
  <c r="H89" i="39"/>
  <c r="D89" i="39"/>
  <c r="B89" i="39"/>
  <c r="X88" i="39"/>
  <c r="Z88" i="39" s="1"/>
  <c r="N88" i="39"/>
  <c r="L88" i="39"/>
  <c r="B88" i="39"/>
  <c r="Z87" i="39"/>
  <c r="X87" i="39"/>
  <c r="N87" i="39"/>
  <c r="L87" i="39"/>
  <c r="B87" i="39"/>
  <c r="Z86" i="39"/>
  <c r="X86" i="39"/>
  <c r="L86" i="39"/>
  <c r="N86" i="39" s="1"/>
  <c r="B86" i="39"/>
  <c r="Z85" i="39"/>
  <c r="X85" i="39"/>
  <c r="N85" i="39"/>
  <c r="L85" i="39"/>
  <c r="B85" i="39"/>
  <c r="Z84" i="39"/>
  <c r="X84" i="39"/>
  <c r="N84" i="39"/>
  <c r="L84" i="39"/>
  <c r="B84" i="39"/>
  <c r="X83" i="39"/>
  <c r="Z83" i="39" s="1"/>
  <c r="N83" i="39"/>
  <c r="L83" i="39"/>
  <c r="B83" i="39"/>
  <c r="Z82" i="39"/>
  <c r="X82" i="39"/>
  <c r="N82" i="39"/>
  <c r="L82" i="39"/>
  <c r="B82" i="39"/>
  <c r="T81" i="39"/>
  <c r="P81" i="39"/>
  <c r="X81" i="39" s="1"/>
  <c r="L81" i="39"/>
  <c r="H81" i="39"/>
  <c r="N81" i="39" s="1"/>
  <c r="D81" i="39"/>
  <c r="B81" i="39"/>
  <c r="Z80" i="39"/>
  <c r="X80" i="39"/>
  <c r="N80" i="39"/>
  <c r="L80" i="39"/>
  <c r="B80" i="39"/>
  <c r="X79" i="39"/>
  <c r="T79" i="39"/>
  <c r="Z79" i="39" s="1"/>
  <c r="P79" i="39"/>
  <c r="H79" i="39"/>
  <c r="N79" i="39" s="1"/>
  <c r="D79" i="39"/>
  <c r="B79" i="39"/>
  <c r="Z78" i="39"/>
  <c r="X78" i="39"/>
  <c r="N78" i="39"/>
  <c r="L78" i="39"/>
  <c r="B78" i="39"/>
  <c r="X77" i="39"/>
  <c r="Z77" i="39" s="1"/>
  <c r="L77" i="39"/>
  <c r="N77" i="39" s="1"/>
  <c r="B77" i="39"/>
  <c r="Z76" i="39"/>
  <c r="X76" i="39"/>
  <c r="L76" i="39"/>
  <c r="N76" i="39" s="1"/>
  <c r="B76" i="39"/>
  <c r="X75" i="39"/>
  <c r="Z75" i="39" s="1"/>
  <c r="L75" i="39"/>
  <c r="N75" i="39" s="1"/>
  <c r="B75" i="39"/>
  <c r="T74" i="39"/>
  <c r="P74" i="39"/>
  <c r="X74" i="39" s="1"/>
  <c r="H74" i="39"/>
  <c r="D74" i="39"/>
  <c r="L74" i="39" s="1"/>
  <c r="N74" i="39" s="1"/>
  <c r="B74" i="39"/>
  <c r="X73" i="39"/>
  <c r="Z73" i="39" s="1"/>
  <c r="L73" i="39"/>
  <c r="N73" i="39" s="1"/>
  <c r="B73" i="39"/>
  <c r="Z72" i="39"/>
  <c r="X72" i="39"/>
  <c r="L72" i="39"/>
  <c r="N72" i="39" s="1"/>
  <c r="B72" i="39"/>
  <c r="Z71" i="39"/>
  <c r="X71" i="39"/>
  <c r="N71" i="39"/>
  <c r="L71" i="39"/>
  <c r="B71" i="39"/>
  <c r="T70" i="39"/>
  <c r="Z70" i="39" s="1"/>
  <c r="P70" i="39"/>
  <c r="X70" i="39" s="1"/>
  <c r="H70" i="39"/>
  <c r="D70" i="39"/>
  <c r="L70" i="39" s="1"/>
  <c r="N70" i="39" s="1"/>
  <c r="B70" i="39"/>
  <c r="Z69" i="39"/>
  <c r="X69" i="39"/>
  <c r="N69" i="39"/>
  <c r="L69" i="39"/>
  <c r="B69" i="39"/>
  <c r="Z68" i="39"/>
  <c r="T68" i="39"/>
  <c r="P68" i="39"/>
  <c r="X68" i="39" s="1"/>
  <c r="N68" i="39"/>
  <c r="L68" i="39"/>
  <c r="H68" i="39"/>
  <c r="D68" i="39"/>
  <c r="B68" i="39"/>
  <c r="Z67" i="39"/>
  <c r="X67" i="39"/>
  <c r="N67" i="39"/>
  <c r="L67" i="39"/>
  <c r="B67" i="39"/>
  <c r="X66" i="39"/>
  <c r="Z66" i="39" s="1"/>
  <c r="T66" i="39"/>
  <c r="P66" i="39"/>
  <c r="H66" i="39"/>
  <c r="D66" i="39"/>
  <c r="B66" i="39"/>
  <c r="Z65" i="39"/>
  <c r="X65" i="39"/>
  <c r="N65" i="39"/>
  <c r="L65" i="39"/>
  <c r="B65" i="39"/>
  <c r="T64" i="39"/>
  <c r="P64" i="39"/>
  <c r="H64" i="39"/>
  <c r="D64" i="39"/>
  <c r="L64" i="39" s="1"/>
  <c r="B64" i="39"/>
  <c r="X63" i="39"/>
  <c r="Z63" i="39" s="1"/>
  <c r="N63" i="39"/>
  <c r="L63" i="39"/>
  <c r="B63" i="39"/>
  <c r="T62" i="39"/>
  <c r="P62" i="39"/>
  <c r="X62" i="39" s="1"/>
  <c r="H62" i="39"/>
  <c r="N62" i="39" s="1"/>
  <c r="D62" i="39"/>
  <c r="L62" i="39" s="1"/>
  <c r="B62" i="39"/>
  <c r="Z61" i="39"/>
  <c r="X61" i="39"/>
  <c r="N61" i="39"/>
  <c r="L61" i="39"/>
  <c r="B61" i="39"/>
  <c r="T60" i="39"/>
  <c r="Z60" i="39" s="1"/>
  <c r="P60" i="39"/>
  <c r="X60" i="39" s="1"/>
  <c r="L60" i="39"/>
  <c r="H60" i="39"/>
  <c r="N60" i="39" s="1"/>
  <c r="D60" i="39"/>
  <c r="B60" i="39"/>
  <c r="Z59" i="39"/>
  <c r="X59" i="39"/>
  <c r="N59" i="39"/>
  <c r="L59" i="39"/>
  <c r="B59" i="39"/>
  <c r="X58" i="39"/>
  <c r="T58" i="39"/>
  <c r="Z58" i="39" s="1"/>
  <c r="P58" i="39"/>
  <c r="H58" i="39"/>
  <c r="D58" i="39"/>
  <c r="B58" i="39"/>
  <c r="Z57" i="39"/>
  <c r="X57" i="39"/>
  <c r="N57" i="39"/>
  <c r="L57" i="39"/>
  <c r="B57" i="39"/>
  <c r="T56" i="39"/>
  <c r="Z56" i="39" s="1"/>
  <c r="P56" i="39"/>
  <c r="H56" i="39"/>
  <c r="N56" i="39" s="1"/>
  <c r="D56" i="39"/>
  <c r="L56" i="39" s="1"/>
  <c r="B56" i="39"/>
  <c r="Z55" i="39"/>
  <c r="X55" i="39"/>
  <c r="N55" i="39"/>
  <c r="L55" i="39"/>
  <c r="B55" i="39"/>
  <c r="X54" i="39"/>
  <c r="Z54" i="39" s="1"/>
  <c r="L54" i="39"/>
  <c r="N54" i="39" s="1"/>
  <c r="B54" i="39"/>
  <c r="T53" i="39"/>
  <c r="Z53" i="39" s="1"/>
  <c r="P53" i="39"/>
  <c r="X53" i="39" s="1"/>
  <c r="H53" i="39"/>
  <c r="D53" i="39"/>
  <c r="L53" i="39" s="1"/>
  <c r="N53" i="39" s="1"/>
  <c r="B53" i="39"/>
  <c r="X52" i="39"/>
  <c r="Z52" i="39" s="1"/>
  <c r="L52" i="39"/>
  <c r="N52" i="39" s="1"/>
  <c r="B52" i="39"/>
  <c r="T51" i="39"/>
  <c r="P51" i="39"/>
  <c r="X51" i="39" s="1"/>
  <c r="Z51" i="39" s="1"/>
  <c r="N51" i="39"/>
  <c r="L51" i="39"/>
  <c r="H51" i="39"/>
  <c r="D51" i="39"/>
  <c r="B51" i="39"/>
  <c r="X50" i="39"/>
  <c r="Z50" i="39" s="1"/>
  <c r="N50" i="39"/>
  <c r="L50" i="39"/>
  <c r="B50" i="39"/>
  <c r="Z49" i="39"/>
  <c r="X49" i="39"/>
  <c r="T49" i="39"/>
  <c r="P49" i="39"/>
  <c r="H49" i="39"/>
  <c r="D49" i="39"/>
  <c r="B49" i="39"/>
  <c r="X48" i="39"/>
  <c r="Z48" i="39" s="1"/>
  <c r="N48" i="39"/>
  <c r="L48" i="39"/>
  <c r="B48" i="39"/>
  <c r="T47" i="39"/>
  <c r="P47" i="39"/>
  <c r="H47" i="39"/>
  <c r="N47" i="39" s="1"/>
  <c r="D47" i="39"/>
  <c r="L47" i="39" s="1"/>
  <c r="B47" i="39"/>
  <c r="X46" i="39"/>
  <c r="Z46" i="39" s="1"/>
  <c r="L46" i="39"/>
  <c r="N46" i="39" s="1"/>
  <c r="B46" i="39"/>
  <c r="X45" i="39"/>
  <c r="Z45" i="39" s="1"/>
  <c r="N45" i="39"/>
  <c r="L45" i="39"/>
  <c r="B45" i="39"/>
  <c r="X44" i="39"/>
  <c r="Z44" i="39" s="1"/>
  <c r="N44" i="39"/>
  <c r="L44" i="39"/>
  <c r="B44" i="39"/>
  <c r="Z43" i="39"/>
  <c r="X43" i="39"/>
  <c r="N43" i="39"/>
  <c r="L43" i="39"/>
  <c r="B43" i="39"/>
  <c r="X42" i="39"/>
  <c r="Z42" i="39" s="1"/>
  <c r="L42" i="39"/>
  <c r="N42" i="39" s="1"/>
  <c r="B42" i="39"/>
  <c r="T41" i="39"/>
  <c r="P41" i="39"/>
  <c r="X41" i="39" s="1"/>
  <c r="Z41" i="39" s="1"/>
  <c r="H41" i="39"/>
  <c r="D41" i="39"/>
  <c r="B41" i="39"/>
  <c r="Z40" i="39"/>
  <c r="X40" i="39"/>
  <c r="N40" i="39"/>
  <c r="L40" i="39"/>
  <c r="B40" i="39"/>
  <c r="X39" i="39"/>
  <c r="Z39" i="39" s="1"/>
  <c r="L39" i="39"/>
  <c r="N39" i="39" s="1"/>
  <c r="B39" i="39"/>
  <c r="Z38" i="39"/>
  <c r="X38" i="39"/>
  <c r="N38" i="39"/>
  <c r="L38" i="39"/>
  <c r="B38" i="39"/>
  <c r="Z37" i="39"/>
  <c r="X37" i="39"/>
  <c r="L37" i="39"/>
  <c r="N37" i="39" s="1"/>
  <c r="B37" i="39"/>
  <c r="Z36" i="39"/>
  <c r="X36" i="39"/>
  <c r="L36" i="39"/>
  <c r="N36" i="39" s="1"/>
  <c r="B36" i="39"/>
  <c r="Z35" i="39"/>
  <c r="X35" i="39"/>
  <c r="L35" i="39"/>
  <c r="N35" i="39" s="1"/>
  <c r="B35" i="39"/>
  <c r="X34" i="39"/>
  <c r="Z34" i="39" s="1"/>
  <c r="N34" i="39"/>
  <c r="L34" i="39"/>
  <c r="B34" i="39"/>
  <c r="X33" i="39"/>
  <c r="Z33" i="39" s="1"/>
  <c r="N33" i="39"/>
  <c r="L33" i="39"/>
  <c r="B33" i="39"/>
  <c r="T32" i="39"/>
  <c r="P32" i="39"/>
  <c r="H32" i="39"/>
  <c r="N32" i="39" s="1"/>
  <c r="D32" i="39"/>
  <c r="L32" i="39" s="1"/>
  <c r="B32" i="39"/>
  <c r="T31" i="39"/>
  <c r="P31" i="39"/>
  <c r="X31" i="39" s="1"/>
  <c r="H31" i="39"/>
  <c r="N31" i="39" s="1"/>
  <c r="D31" i="39"/>
  <c r="L31" i="39" s="1"/>
  <c r="X27" i="39"/>
  <c r="Z27" i="39" s="1"/>
  <c r="L27" i="39"/>
  <c r="N27" i="39" s="1"/>
  <c r="B27" i="39"/>
  <c r="Z26" i="39"/>
  <c r="X26" i="39"/>
  <c r="N26" i="39"/>
  <c r="L26" i="39"/>
  <c r="B26" i="39"/>
  <c r="X25" i="39"/>
  <c r="T25" i="39"/>
  <c r="Z25" i="39" s="1"/>
  <c r="P25" i="39"/>
  <c r="H25" i="39"/>
  <c r="N25" i="39" s="1"/>
  <c r="D25" i="39"/>
  <c r="L25" i="39" s="1"/>
  <c r="T23" i="39"/>
  <c r="Z23" i="39" s="1"/>
  <c r="P23" i="39"/>
  <c r="X23" i="39" s="1"/>
  <c r="L23" i="39"/>
  <c r="H23" i="39"/>
  <c r="N23" i="39" s="1"/>
  <c r="D23" i="39"/>
  <c r="B23" i="39"/>
  <c r="T22" i="39"/>
  <c r="P22" i="39"/>
  <c r="H22" i="39"/>
  <c r="D22" i="39"/>
  <c r="L22" i="39" s="1"/>
  <c r="N22" i="39" s="1"/>
  <c r="B22" i="39"/>
  <c r="Z21" i="39"/>
  <c r="T21" i="39"/>
  <c r="P21" i="39"/>
  <c r="X21" i="39" s="1"/>
  <c r="L21" i="39"/>
  <c r="H21" i="39"/>
  <c r="N21" i="39" s="1"/>
  <c r="D21" i="39"/>
  <c r="B21" i="39"/>
  <c r="T20" i="39"/>
  <c r="Z20" i="39" s="1"/>
  <c r="P20" i="39"/>
  <c r="X20" i="39" s="1"/>
  <c r="N20" i="39"/>
  <c r="H20" i="39"/>
  <c r="D20" i="39"/>
  <c r="L20" i="39" s="1"/>
  <c r="B20" i="39"/>
  <c r="X19" i="39"/>
  <c r="T19" i="39"/>
  <c r="Z19" i="39" s="1"/>
  <c r="P19" i="39"/>
  <c r="H19" i="39"/>
  <c r="D19" i="39"/>
  <c r="L19" i="39" s="1"/>
  <c r="B19" i="39"/>
  <c r="Z18" i="39"/>
  <c r="T18" i="39"/>
  <c r="P18" i="39"/>
  <c r="X18" i="39" s="1"/>
  <c r="H18" i="39"/>
  <c r="N18" i="39" s="1"/>
  <c r="D18" i="39"/>
  <c r="B18" i="39"/>
  <c r="X17" i="39"/>
  <c r="T17" i="39"/>
  <c r="Z17" i="39" s="1"/>
  <c r="P17" i="39"/>
  <c r="N17" i="39"/>
  <c r="H17" i="39"/>
  <c r="D17" i="39"/>
  <c r="L17" i="39" s="1"/>
  <c r="B17" i="39"/>
  <c r="T16" i="39"/>
  <c r="P16" i="39"/>
  <c r="X16" i="39" s="1"/>
  <c r="Z16" i="39" s="1"/>
  <c r="H16" i="39"/>
  <c r="D16" i="39"/>
  <c r="L16" i="39" s="1"/>
  <c r="B16" i="39"/>
  <c r="T15" i="39"/>
  <c r="Z15" i="39" s="1"/>
  <c r="P15" i="39"/>
  <c r="X15" i="39" s="1"/>
  <c r="L15" i="39"/>
  <c r="H15" i="39"/>
  <c r="N15" i="39" s="1"/>
  <c r="D15" i="39"/>
  <c r="D12" i="39" s="1"/>
  <c r="B15" i="39"/>
  <c r="T14" i="39"/>
  <c r="P14" i="39"/>
  <c r="H14" i="39"/>
  <c r="D14" i="39"/>
  <c r="L14" i="39" s="1"/>
  <c r="N14" i="39" s="1"/>
  <c r="B14" i="39"/>
  <c r="Z13" i="39"/>
  <c r="T13" i="39"/>
  <c r="P13" i="39"/>
  <c r="P12" i="39" s="1"/>
  <c r="L13" i="39"/>
  <c r="H13" i="39"/>
  <c r="N13" i="39" s="1"/>
  <c r="D13" i="39"/>
  <c r="B13" i="39"/>
  <c r="T12" i="39"/>
  <c r="V94" i="39" s="1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P20" i="38"/>
  <c r="H20" i="38"/>
  <c r="N20" i="38" s="1"/>
  <c r="D20" i="38"/>
  <c r="T16" i="38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V24" i="38" s="1"/>
  <c r="P12" i="38"/>
  <c r="R34" i="38" s="1"/>
  <c r="H12" i="38"/>
  <c r="D12" i="38"/>
  <c r="F21" i="38" s="1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34" i="37" s="1"/>
  <c r="P12" i="37"/>
  <c r="R20" i="37" s="1"/>
  <c r="H12" i="37"/>
  <c r="J21" i="37" s="1"/>
  <c r="D12" i="37"/>
  <c r="F34" i="37" s="1"/>
  <c r="D5" i="37"/>
  <c r="D4" i="37"/>
  <c r="Z105" i="36"/>
  <c r="X105" i="36"/>
  <c r="L105" i="36"/>
  <c r="N105" i="36" s="1"/>
  <c r="T101" i="36"/>
  <c r="P101" i="36"/>
  <c r="H101" i="36"/>
  <c r="N101" i="36" s="1"/>
  <c r="D101" i="36"/>
  <c r="L101" i="36" s="1"/>
  <c r="B101" i="36"/>
  <c r="T100" i="36"/>
  <c r="P100" i="36"/>
  <c r="N100" i="36"/>
  <c r="L100" i="36"/>
  <c r="H100" i="36"/>
  <c r="D100" i="36"/>
  <c r="B100" i="36"/>
  <c r="X99" i="36"/>
  <c r="T99" i="36"/>
  <c r="Z99" i="36" s="1"/>
  <c r="P99" i="36"/>
  <c r="H99" i="36"/>
  <c r="D99" i="36"/>
  <c r="B99" i="36"/>
  <c r="P98" i="36"/>
  <c r="Z96" i="36"/>
  <c r="X96" i="36"/>
  <c r="L96" i="36"/>
  <c r="N96" i="36" s="1"/>
  <c r="B96" i="36"/>
  <c r="T95" i="36"/>
  <c r="P95" i="36"/>
  <c r="X95" i="36" s="1"/>
  <c r="L95" i="36"/>
  <c r="H95" i="36"/>
  <c r="N95" i="36" s="1"/>
  <c r="D95" i="36"/>
  <c r="B95" i="36"/>
  <c r="Z94" i="36"/>
  <c r="X94" i="36"/>
  <c r="N94" i="36"/>
  <c r="L94" i="36"/>
  <c r="B94" i="36"/>
  <c r="Z93" i="36"/>
  <c r="X93" i="36"/>
  <c r="N93" i="36"/>
  <c r="L93" i="36"/>
  <c r="B93" i="36"/>
  <c r="T92" i="36"/>
  <c r="P92" i="36"/>
  <c r="X92" i="36" s="1"/>
  <c r="Z92" i="36" s="1"/>
  <c r="N92" i="36"/>
  <c r="L92" i="36"/>
  <c r="H92" i="36"/>
  <c r="D92" i="36"/>
  <c r="B92" i="36"/>
  <c r="X91" i="36"/>
  <c r="Z91" i="36" s="1"/>
  <c r="N91" i="36"/>
  <c r="L91" i="36"/>
  <c r="B91" i="36"/>
  <c r="T90" i="36"/>
  <c r="P90" i="36"/>
  <c r="X90" i="36" s="1"/>
  <c r="Z90" i="36" s="1"/>
  <c r="L90" i="36"/>
  <c r="N90" i="36" s="1"/>
  <c r="H90" i="36"/>
  <c r="D90" i="36"/>
  <c r="B90" i="36"/>
  <c r="X89" i="36"/>
  <c r="Z89" i="36" s="1"/>
  <c r="L89" i="36"/>
  <c r="N89" i="36" s="1"/>
  <c r="B89" i="36"/>
  <c r="X88" i="36"/>
  <c r="T88" i="36"/>
  <c r="Z88" i="36" s="1"/>
  <c r="P88" i="36"/>
  <c r="H88" i="36"/>
  <c r="N88" i="36" s="1"/>
  <c r="D88" i="36"/>
  <c r="L88" i="36" s="1"/>
  <c r="B88" i="36"/>
  <c r="Z87" i="36"/>
  <c r="X87" i="36"/>
  <c r="N87" i="36"/>
  <c r="L87" i="36"/>
  <c r="B87" i="36"/>
  <c r="Z86" i="36"/>
  <c r="X86" i="36"/>
  <c r="N86" i="36"/>
  <c r="L86" i="36"/>
  <c r="B86" i="36"/>
  <c r="Z85" i="36"/>
  <c r="X85" i="36"/>
  <c r="L85" i="36"/>
  <c r="N85" i="36" s="1"/>
  <c r="B85" i="36"/>
  <c r="X84" i="36"/>
  <c r="Z84" i="36" s="1"/>
  <c r="N84" i="36"/>
  <c r="L84" i="36"/>
  <c r="B84" i="36"/>
  <c r="Z83" i="36"/>
  <c r="X83" i="36"/>
  <c r="N83" i="36"/>
  <c r="L83" i="36"/>
  <c r="B83" i="36"/>
  <c r="X82" i="36"/>
  <c r="Z82" i="36" s="1"/>
  <c r="L82" i="36"/>
  <c r="N82" i="36" s="1"/>
  <c r="B82" i="36"/>
  <c r="X81" i="36"/>
  <c r="Z81" i="36" s="1"/>
  <c r="N81" i="36"/>
  <c r="L81" i="36"/>
  <c r="B81" i="36"/>
  <c r="Z80" i="36"/>
  <c r="X80" i="36"/>
  <c r="L80" i="36"/>
  <c r="N80" i="36" s="1"/>
  <c r="B80" i="36"/>
  <c r="T79" i="36"/>
  <c r="Z79" i="36" s="1"/>
  <c r="P79" i="36"/>
  <c r="X79" i="36" s="1"/>
  <c r="L79" i="36"/>
  <c r="N79" i="36" s="1"/>
  <c r="H79" i="36"/>
  <c r="D79" i="36"/>
  <c r="B79" i="36"/>
  <c r="X78" i="36"/>
  <c r="Z78" i="36" s="1"/>
  <c r="N78" i="36"/>
  <c r="L78" i="36"/>
  <c r="B78" i="36"/>
  <c r="X77" i="36"/>
  <c r="Z77" i="36" s="1"/>
  <c r="T77" i="36"/>
  <c r="P77" i="36"/>
  <c r="H77" i="36"/>
  <c r="N77" i="36" s="1"/>
  <c r="D77" i="36"/>
  <c r="B77" i="36"/>
  <c r="X76" i="36"/>
  <c r="Z76" i="36" s="1"/>
  <c r="N76" i="36"/>
  <c r="L76" i="36"/>
  <c r="B76" i="36"/>
  <c r="Z75" i="36"/>
  <c r="X75" i="36"/>
  <c r="L75" i="36"/>
  <c r="N75" i="36" s="1"/>
  <c r="B75" i="36"/>
  <c r="Z74" i="36"/>
  <c r="X74" i="36"/>
  <c r="L74" i="36"/>
  <c r="N74" i="36" s="1"/>
  <c r="B74" i="36"/>
  <c r="X73" i="36"/>
  <c r="Z73" i="36" s="1"/>
  <c r="L73" i="36"/>
  <c r="N73" i="36" s="1"/>
  <c r="B73" i="36"/>
  <c r="T72" i="36"/>
  <c r="P72" i="36"/>
  <c r="X72" i="36" s="1"/>
  <c r="Z72" i="36" s="1"/>
  <c r="N72" i="36"/>
  <c r="L72" i="36"/>
  <c r="H72" i="36"/>
  <c r="D72" i="36"/>
  <c r="B72" i="36"/>
  <c r="Z71" i="36"/>
  <c r="X71" i="36"/>
  <c r="N71" i="36"/>
  <c r="L71" i="36"/>
  <c r="B71" i="36"/>
  <c r="Z70" i="36"/>
  <c r="X70" i="36"/>
  <c r="L70" i="36"/>
  <c r="N70" i="36" s="1"/>
  <c r="B70" i="36"/>
  <c r="Z69" i="36"/>
  <c r="X69" i="36"/>
  <c r="N69" i="36"/>
  <c r="L69" i="36"/>
  <c r="B69" i="36"/>
  <c r="T68" i="36"/>
  <c r="P68" i="36"/>
  <c r="X68" i="36" s="1"/>
  <c r="L68" i="36"/>
  <c r="N68" i="36" s="1"/>
  <c r="H68" i="36"/>
  <c r="D68" i="36"/>
  <c r="B68" i="36"/>
  <c r="Z67" i="36"/>
  <c r="X67" i="36"/>
  <c r="N67" i="36"/>
  <c r="L67" i="36"/>
  <c r="B67" i="36"/>
  <c r="Z66" i="36"/>
  <c r="X66" i="36"/>
  <c r="T66" i="36"/>
  <c r="P66" i="36"/>
  <c r="L66" i="36"/>
  <c r="H66" i="36"/>
  <c r="N66" i="36" s="1"/>
  <c r="D66" i="36"/>
  <c r="B66" i="36"/>
  <c r="X65" i="36"/>
  <c r="Z65" i="36" s="1"/>
  <c r="N65" i="36"/>
  <c r="L65" i="36"/>
  <c r="B65" i="36"/>
  <c r="T64" i="36"/>
  <c r="P64" i="36"/>
  <c r="H64" i="36"/>
  <c r="D64" i="36"/>
  <c r="L64" i="36" s="1"/>
  <c r="B64" i="36"/>
  <c r="Z63" i="36"/>
  <c r="X63" i="36"/>
  <c r="N63" i="36"/>
  <c r="L63" i="36"/>
  <c r="B63" i="36"/>
  <c r="T62" i="36"/>
  <c r="P62" i="36"/>
  <c r="X62" i="36" s="1"/>
  <c r="H62" i="36"/>
  <c r="D62" i="36"/>
  <c r="L62" i="36" s="1"/>
  <c r="B62" i="36"/>
  <c r="Z61" i="36"/>
  <c r="X61" i="36"/>
  <c r="N61" i="36"/>
  <c r="L61" i="36"/>
  <c r="B61" i="36"/>
  <c r="T60" i="36"/>
  <c r="P60" i="36"/>
  <c r="X60" i="36" s="1"/>
  <c r="H60" i="36"/>
  <c r="D60" i="36"/>
  <c r="L60" i="36" s="1"/>
  <c r="N60" i="36" s="1"/>
  <c r="B60" i="36"/>
  <c r="Z59" i="36"/>
  <c r="X59" i="36"/>
  <c r="N59" i="36"/>
  <c r="L59" i="36"/>
  <c r="B59" i="36"/>
  <c r="T58" i="36"/>
  <c r="P58" i="36"/>
  <c r="X58" i="36" s="1"/>
  <c r="L58" i="36"/>
  <c r="H58" i="36"/>
  <c r="N58" i="36" s="1"/>
  <c r="D58" i="36"/>
  <c r="B58" i="36"/>
  <c r="Z57" i="36"/>
  <c r="X57" i="36"/>
  <c r="N57" i="36"/>
  <c r="L57" i="36"/>
  <c r="B57" i="36"/>
  <c r="X56" i="36"/>
  <c r="T56" i="36"/>
  <c r="Z56" i="36" s="1"/>
  <c r="P56" i="36"/>
  <c r="L56" i="36"/>
  <c r="H56" i="36"/>
  <c r="N56" i="36" s="1"/>
  <c r="D56" i="36"/>
  <c r="B56" i="36"/>
  <c r="Z55" i="36"/>
  <c r="X55" i="36"/>
  <c r="N55" i="36"/>
  <c r="L55" i="36"/>
  <c r="B55" i="36"/>
  <c r="T54" i="36"/>
  <c r="Z54" i="36" s="1"/>
  <c r="P54" i="36"/>
  <c r="H54" i="36"/>
  <c r="N54" i="36" s="1"/>
  <c r="D54" i="36"/>
  <c r="L54" i="36" s="1"/>
  <c r="B54" i="36"/>
  <c r="Z53" i="36"/>
  <c r="X53" i="36"/>
  <c r="N53" i="36"/>
  <c r="L53" i="36"/>
  <c r="B53" i="36"/>
  <c r="T52" i="36"/>
  <c r="Z52" i="36" s="1"/>
  <c r="P52" i="36"/>
  <c r="X52" i="36" s="1"/>
  <c r="H52" i="36"/>
  <c r="D52" i="36"/>
  <c r="L52" i="36" s="1"/>
  <c r="B52" i="36"/>
  <c r="Z51" i="36"/>
  <c r="X51" i="36"/>
  <c r="N51" i="36"/>
  <c r="L51" i="36"/>
  <c r="B51" i="36"/>
  <c r="X50" i="36"/>
  <c r="Z50" i="36" s="1"/>
  <c r="L50" i="36"/>
  <c r="N50" i="36" s="1"/>
  <c r="B50" i="36"/>
  <c r="T49" i="36"/>
  <c r="P49" i="36"/>
  <c r="X49" i="36" s="1"/>
  <c r="Z49" i="36" s="1"/>
  <c r="N49" i="36"/>
  <c r="L49" i="36"/>
  <c r="H49" i="36"/>
  <c r="D49" i="36"/>
  <c r="B49" i="36"/>
  <c r="X48" i="36"/>
  <c r="Z48" i="36" s="1"/>
  <c r="L48" i="36"/>
  <c r="N48" i="36" s="1"/>
  <c r="B48" i="36"/>
  <c r="Z47" i="36"/>
  <c r="X47" i="36"/>
  <c r="T47" i="36"/>
  <c r="P47" i="36"/>
  <c r="H47" i="36"/>
  <c r="L47" i="36" s="1"/>
  <c r="N47" i="36" s="1"/>
  <c r="D47" i="36"/>
  <c r="B47" i="36"/>
  <c r="X46" i="36"/>
  <c r="Z46" i="36" s="1"/>
  <c r="N46" i="36"/>
  <c r="L46" i="36"/>
  <c r="B46" i="36"/>
  <c r="T45" i="36"/>
  <c r="X45" i="36" s="1"/>
  <c r="Z45" i="36" s="1"/>
  <c r="P45" i="36"/>
  <c r="H45" i="36"/>
  <c r="D45" i="36"/>
  <c r="L45" i="36" s="1"/>
  <c r="N45" i="36" s="1"/>
  <c r="B45" i="36"/>
  <c r="X44" i="36"/>
  <c r="Z44" i="36" s="1"/>
  <c r="L44" i="36"/>
  <c r="N44" i="36" s="1"/>
  <c r="B44" i="36"/>
  <c r="T43" i="36"/>
  <c r="P43" i="36"/>
  <c r="X43" i="36" s="1"/>
  <c r="Z43" i="36" s="1"/>
  <c r="H43" i="36"/>
  <c r="D43" i="36"/>
  <c r="L43" i="36" s="1"/>
  <c r="B43" i="36"/>
  <c r="Z42" i="36"/>
  <c r="X42" i="36"/>
  <c r="L42" i="36"/>
  <c r="N42" i="36" s="1"/>
  <c r="B42" i="36"/>
  <c r="Z41" i="36"/>
  <c r="X41" i="36"/>
  <c r="N41" i="36"/>
  <c r="L41" i="36"/>
  <c r="B41" i="36"/>
  <c r="Z40" i="36"/>
  <c r="X40" i="36"/>
  <c r="L40" i="36"/>
  <c r="N40" i="36" s="1"/>
  <c r="B40" i="36"/>
  <c r="X39" i="36"/>
  <c r="Z39" i="36" s="1"/>
  <c r="L39" i="36"/>
  <c r="N39" i="36" s="1"/>
  <c r="B39" i="36"/>
  <c r="X38" i="36"/>
  <c r="Z38" i="36" s="1"/>
  <c r="N38" i="36"/>
  <c r="L38" i="36"/>
  <c r="B38" i="36"/>
  <c r="Z37" i="36"/>
  <c r="X37" i="36"/>
  <c r="N37" i="36"/>
  <c r="L37" i="36"/>
  <c r="B37" i="36"/>
  <c r="T36" i="36"/>
  <c r="Z36" i="36" s="1"/>
  <c r="P36" i="36"/>
  <c r="X36" i="36" s="1"/>
  <c r="L36" i="36"/>
  <c r="H36" i="36"/>
  <c r="N36" i="36" s="1"/>
  <c r="D36" i="36"/>
  <c r="B36" i="36"/>
  <c r="Z35" i="36"/>
  <c r="X35" i="36"/>
  <c r="L35" i="36"/>
  <c r="N35" i="36" s="1"/>
  <c r="B35" i="36"/>
  <c r="X34" i="36"/>
  <c r="Z34" i="36" s="1"/>
  <c r="N34" i="36"/>
  <c r="L34" i="36"/>
  <c r="B34" i="36"/>
  <c r="Z33" i="36"/>
  <c r="X33" i="36"/>
  <c r="N33" i="36"/>
  <c r="L33" i="36"/>
  <c r="B33" i="36"/>
  <c r="X32" i="36"/>
  <c r="Z32" i="36" s="1"/>
  <c r="L32" i="36"/>
  <c r="N32" i="36" s="1"/>
  <c r="B32" i="36"/>
  <c r="X31" i="36"/>
  <c r="Z31" i="36" s="1"/>
  <c r="N31" i="36"/>
  <c r="L31" i="36"/>
  <c r="B31" i="36"/>
  <c r="Z30" i="36"/>
  <c r="X30" i="36"/>
  <c r="L30" i="36"/>
  <c r="N30" i="36" s="1"/>
  <c r="B30" i="36"/>
  <c r="X29" i="36"/>
  <c r="Z29" i="36" s="1"/>
  <c r="N29" i="36"/>
  <c r="L29" i="36"/>
  <c r="B29" i="36"/>
  <c r="X28" i="36"/>
  <c r="Z28" i="36" s="1"/>
  <c r="L28" i="36"/>
  <c r="N28" i="36" s="1"/>
  <c r="B28" i="36"/>
  <c r="Z27" i="36"/>
  <c r="X27" i="36"/>
  <c r="L27" i="36"/>
  <c r="N27" i="36" s="1"/>
  <c r="B27" i="36"/>
  <c r="T26" i="36"/>
  <c r="P26" i="36"/>
  <c r="X26" i="36" s="1"/>
  <c r="H26" i="36"/>
  <c r="D26" i="36"/>
  <c r="L26" i="36" s="1"/>
  <c r="B26" i="36"/>
  <c r="T25" i="36"/>
  <c r="Z25" i="36" s="1"/>
  <c r="P25" i="36"/>
  <c r="X25" i="36" s="1"/>
  <c r="H25" i="36"/>
  <c r="N25" i="36" s="1"/>
  <c r="D25" i="36"/>
  <c r="L25" i="36" s="1"/>
  <c r="X21" i="36"/>
  <c r="Z21" i="36" s="1"/>
  <c r="L21" i="36"/>
  <c r="N21" i="36" s="1"/>
  <c r="B21" i="36"/>
  <c r="Z20" i="36"/>
  <c r="X20" i="36"/>
  <c r="N20" i="36"/>
  <c r="L20" i="36"/>
  <c r="B20" i="36"/>
  <c r="X19" i="36"/>
  <c r="T19" i="36"/>
  <c r="Z19" i="36" s="1"/>
  <c r="P19" i="36"/>
  <c r="H19" i="36"/>
  <c r="D19" i="36"/>
  <c r="L19" i="36" s="1"/>
  <c r="T17" i="36"/>
  <c r="P17" i="36"/>
  <c r="X17" i="36" s="1"/>
  <c r="Z17" i="36" s="1"/>
  <c r="L17" i="36"/>
  <c r="N17" i="36" s="1"/>
  <c r="H17" i="36"/>
  <c r="D17" i="36"/>
  <c r="B17" i="36"/>
  <c r="T16" i="36"/>
  <c r="P16" i="36"/>
  <c r="X16" i="36" s="1"/>
  <c r="H16" i="36"/>
  <c r="H12" i="36" s="1"/>
  <c r="D16" i="36"/>
  <c r="L16" i="36" s="1"/>
  <c r="N16" i="36" s="1"/>
  <c r="B16" i="36"/>
  <c r="T15" i="36"/>
  <c r="P15" i="36"/>
  <c r="X15" i="36" s="1"/>
  <c r="L15" i="36"/>
  <c r="H15" i="36"/>
  <c r="N15" i="36" s="1"/>
  <c r="D15" i="36"/>
  <c r="B15" i="36"/>
  <c r="T14" i="36"/>
  <c r="P14" i="36"/>
  <c r="N14" i="36"/>
  <c r="L14" i="36"/>
  <c r="H14" i="36"/>
  <c r="D14" i="36"/>
  <c r="B14" i="36"/>
  <c r="X13" i="36"/>
  <c r="Z13" i="36" s="1"/>
  <c r="T13" i="36"/>
  <c r="P13" i="36"/>
  <c r="P12" i="36" s="1"/>
  <c r="H13" i="36"/>
  <c r="D13" i="36"/>
  <c r="D12" i="36" s="1"/>
  <c r="B13" i="36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2" i="35" s="1"/>
  <c r="P12" i="35"/>
  <c r="R20" i="35" s="1"/>
  <c r="H12" i="35"/>
  <c r="J20" i="35" s="1"/>
  <c r="D12" i="35"/>
  <c r="F22" i="35" s="1"/>
  <c r="D5" i="35"/>
  <c r="D4" i="35"/>
  <c r="B39" i="34"/>
  <c r="B38" i="34"/>
  <c r="T34" i="34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36" i="34" s="1"/>
  <c r="P12" i="34"/>
  <c r="H12" i="34"/>
  <c r="J20" i="34" s="1"/>
  <c r="D12" i="34"/>
  <c r="F36" i="34" s="1"/>
  <c r="D5" i="34"/>
  <c r="D4" i="34"/>
  <c r="X76" i="33"/>
  <c r="Z76" i="33" s="1"/>
  <c r="L76" i="33"/>
  <c r="N76" i="33" s="1"/>
  <c r="X72" i="33"/>
  <c r="T72" i="33"/>
  <c r="Z72" i="33" s="1"/>
  <c r="P72" i="33"/>
  <c r="H72" i="33"/>
  <c r="H70" i="33" s="1"/>
  <c r="D72" i="33"/>
  <c r="L72" i="33" s="1"/>
  <c r="B72" i="33"/>
  <c r="T71" i="33"/>
  <c r="P71" i="33"/>
  <c r="N71" i="33"/>
  <c r="L71" i="33"/>
  <c r="H71" i="33"/>
  <c r="D71" i="33"/>
  <c r="B71" i="33"/>
  <c r="P70" i="33"/>
  <c r="X68" i="33"/>
  <c r="Z68" i="33" s="1"/>
  <c r="L68" i="33"/>
  <c r="N68" i="33" s="1"/>
  <c r="B68" i="33"/>
  <c r="T67" i="33"/>
  <c r="P67" i="33"/>
  <c r="X67" i="33" s="1"/>
  <c r="Z67" i="33" s="1"/>
  <c r="H67" i="33"/>
  <c r="L67" i="33" s="1"/>
  <c r="N67" i="33" s="1"/>
  <c r="D67" i="33"/>
  <c r="B67" i="33"/>
  <c r="X66" i="33"/>
  <c r="Z66" i="33" s="1"/>
  <c r="L66" i="33"/>
  <c r="N66" i="33" s="1"/>
  <c r="B66" i="33"/>
  <c r="T65" i="33"/>
  <c r="P65" i="33"/>
  <c r="H65" i="33"/>
  <c r="D65" i="33"/>
  <c r="L65" i="33" s="1"/>
  <c r="N65" i="33" s="1"/>
  <c r="B65" i="33"/>
  <c r="X64" i="33"/>
  <c r="Z64" i="33" s="1"/>
  <c r="N64" i="33"/>
  <c r="L64" i="33"/>
  <c r="B64" i="33"/>
  <c r="Z63" i="33"/>
  <c r="X63" i="33"/>
  <c r="L63" i="33"/>
  <c r="N63" i="33" s="1"/>
  <c r="B63" i="33"/>
  <c r="X62" i="33"/>
  <c r="Z62" i="33" s="1"/>
  <c r="L62" i="33"/>
  <c r="N62" i="33" s="1"/>
  <c r="B62" i="33"/>
  <c r="Z61" i="33"/>
  <c r="X61" i="33"/>
  <c r="N61" i="33"/>
  <c r="L61" i="33"/>
  <c r="B61" i="33"/>
  <c r="Z60" i="33"/>
  <c r="X60" i="33"/>
  <c r="N60" i="33"/>
  <c r="L60" i="33"/>
  <c r="B60" i="33"/>
  <c r="T59" i="33"/>
  <c r="Z59" i="33" s="1"/>
  <c r="P59" i="33"/>
  <c r="X59" i="33" s="1"/>
  <c r="H59" i="33"/>
  <c r="D59" i="33"/>
  <c r="L59" i="33" s="1"/>
  <c r="N59" i="33" s="1"/>
  <c r="B59" i="33"/>
  <c r="X58" i="33"/>
  <c r="Z58" i="33" s="1"/>
  <c r="L58" i="33"/>
  <c r="N58" i="33" s="1"/>
  <c r="B58" i="33"/>
  <c r="T57" i="33"/>
  <c r="Z57" i="33" s="1"/>
  <c r="P57" i="33"/>
  <c r="X57" i="33" s="1"/>
  <c r="H57" i="33"/>
  <c r="D57" i="33"/>
  <c r="L57" i="33" s="1"/>
  <c r="N57" i="33" s="1"/>
  <c r="B57" i="33"/>
  <c r="Z56" i="33"/>
  <c r="X56" i="33"/>
  <c r="N56" i="33"/>
  <c r="L56" i="33"/>
  <c r="B56" i="33"/>
  <c r="Z55" i="33"/>
  <c r="X55" i="33"/>
  <c r="L55" i="33"/>
  <c r="N55" i="33" s="1"/>
  <c r="B55" i="33"/>
  <c r="T54" i="33"/>
  <c r="P54" i="33"/>
  <c r="X54" i="33" s="1"/>
  <c r="Z54" i="33" s="1"/>
  <c r="L54" i="33"/>
  <c r="N54" i="33" s="1"/>
  <c r="H54" i="33"/>
  <c r="D54" i="33"/>
  <c r="B54" i="33"/>
  <c r="Z53" i="33"/>
  <c r="X53" i="33"/>
  <c r="N53" i="33"/>
  <c r="L53" i="33"/>
  <c r="B53" i="33"/>
  <c r="X52" i="33"/>
  <c r="Z52" i="33" s="1"/>
  <c r="L52" i="33"/>
  <c r="N52" i="33" s="1"/>
  <c r="B52" i="33"/>
  <c r="T51" i="33"/>
  <c r="P51" i="33"/>
  <c r="X51" i="33" s="1"/>
  <c r="Z51" i="33" s="1"/>
  <c r="N51" i="33"/>
  <c r="L51" i="33"/>
  <c r="H51" i="33"/>
  <c r="D51" i="33"/>
  <c r="B51" i="33"/>
  <c r="X50" i="33"/>
  <c r="Z50" i="33" s="1"/>
  <c r="L50" i="33"/>
  <c r="N50" i="33" s="1"/>
  <c r="B50" i="33"/>
  <c r="Z49" i="33"/>
  <c r="X49" i="33"/>
  <c r="T49" i="33"/>
  <c r="P49" i="33"/>
  <c r="L49" i="33"/>
  <c r="H49" i="33"/>
  <c r="N49" i="33" s="1"/>
  <c r="D49" i="33"/>
  <c r="B49" i="33"/>
  <c r="Z48" i="33"/>
  <c r="X48" i="33"/>
  <c r="N48" i="33"/>
  <c r="L48" i="33"/>
  <c r="B48" i="33"/>
  <c r="X47" i="33"/>
  <c r="T47" i="33"/>
  <c r="Z47" i="33" s="1"/>
  <c r="P47" i="33"/>
  <c r="H47" i="33"/>
  <c r="N47" i="33" s="1"/>
  <c r="D47" i="33"/>
  <c r="L47" i="33" s="1"/>
  <c r="B47" i="33"/>
  <c r="X46" i="33"/>
  <c r="Z46" i="33" s="1"/>
  <c r="L46" i="33"/>
  <c r="N46" i="33" s="1"/>
  <c r="B46" i="33"/>
  <c r="T45" i="33"/>
  <c r="Z45" i="33" s="1"/>
  <c r="P45" i="33"/>
  <c r="X45" i="33" s="1"/>
  <c r="H45" i="33"/>
  <c r="D45" i="33"/>
  <c r="L45" i="33" s="1"/>
  <c r="N45" i="33" s="1"/>
  <c r="B45" i="33"/>
  <c r="X44" i="33"/>
  <c r="Z44" i="33" s="1"/>
  <c r="N44" i="33"/>
  <c r="L44" i="33"/>
  <c r="B44" i="33"/>
  <c r="Z43" i="33"/>
  <c r="X43" i="33"/>
  <c r="L43" i="33"/>
  <c r="N43" i="33" s="1"/>
  <c r="B43" i="33"/>
  <c r="Z42" i="33"/>
  <c r="X42" i="33"/>
  <c r="L42" i="33"/>
  <c r="N42" i="33" s="1"/>
  <c r="B42" i="33"/>
  <c r="T41" i="33"/>
  <c r="Z41" i="33" s="1"/>
  <c r="P41" i="33"/>
  <c r="X41" i="33" s="1"/>
  <c r="H41" i="33"/>
  <c r="D41" i="33"/>
  <c r="L41" i="33" s="1"/>
  <c r="N41" i="33" s="1"/>
  <c r="B41" i="33"/>
  <c r="Z40" i="33"/>
  <c r="X40" i="33"/>
  <c r="N40" i="33"/>
  <c r="L40" i="33"/>
  <c r="B40" i="33"/>
  <c r="Z39" i="33"/>
  <c r="X39" i="33"/>
  <c r="L39" i="33"/>
  <c r="N39" i="33" s="1"/>
  <c r="B39" i="33"/>
  <c r="Z38" i="33"/>
  <c r="X38" i="33"/>
  <c r="N38" i="33"/>
  <c r="L38" i="33"/>
  <c r="B38" i="33"/>
  <c r="X37" i="33"/>
  <c r="Z37" i="33" s="1"/>
  <c r="L37" i="33"/>
  <c r="N37" i="33" s="1"/>
  <c r="B37" i="33"/>
  <c r="Z36" i="33"/>
  <c r="X36" i="33"/>
  <c r="N36" i="33"/>
  <c r="L36" i="33"/>
  <c r="B36" i="33"/>
  <c r="X35" i="33"/>
  <c r="Z35" i="33" s="1"/>
  <c r="N35" i="33"/>
  <c r="L35" i="33"/>
  <c r="B35" i="33"/>
  <c r="Z34" i="33"/>
  <c r="X34" i="33"/>
  <c r="N34" i="33"/>
  <c r="L34" i="33"/>
  <c r="B34" i="33"/>
  <c r="X33" i="33"/>
  <c r="Z33" i="33" s="1"/>
  <c r="N33" i="33"/>
  <c r="L33" i="33"/>
  <c r="B33" i="33"/>
  <c r="T32" i="33"/>
  <c r="X32" i="33" s="1"/>
  <c r="Z32" i="33" s="1"/>
  <c r="P32" i="33"/>
  <c r="N32" i="33"/>
  <c r="L32" i="33"/>
  <c r="H32" i="33"/>
  <c r="D32" i="33"/>
  <c r="B32" i="33"/>
  <c r="T31" i="33"/>
  <c r="P31" i="33"/>
  <c r="X31" i="33" s="1"/>
  <c r="H31" i="33"/>
  <c r="D31" i="33"/>
  <c r="L31" i="33" s="1"/>
  <c r="Z27" i="33"/>
  <c r="X27" i="33"/>
  <c r="N27" i="33"/>
  <c r="L27" i="33"/>
  <c r="B27" i="33"/>
  <c r="Z26" i="33"/>
  <c r="X26" i="33"/>
  <c r="N26" i="33"/>
  <c r="L26" i="33"/>
  <c r="B26" i="33"/>
  <c r="X25" i="33"/>
  <c r="T25" i="33"/>
  <c r="Z25" i="33" s="1"/>
  <c r="P25" i="33"/>
  <c r="L25" i="33"/>
  <c r="H25" i="33"/>
  <c r="N25" i="33" s="1"/>
  <c r="D25" i="33"/>
  <c r="T23" i="33"/>
  <c r="Z23" i="33" s="1"/>
  <c r="P23" i="33"/>
  <c r="X23" i="33" s="1"/>
  <c r="L23" i="33"/>
  <c r="N23" i="33" s="1"/>
  <c r="H23" i="33"/>
  <c r="D23" i="33"/>
  <c r="B23" i="33"/>
  <c r="T22" i="33"/>
  <c r="Z22" i="33" s="1"/>
  <c r="P22" i="33"/>
  <c r="X22" i="33" s="1"/>
  <c r="N22" i="33"/>
  <c r="H22" i="33"/>
  <c r="D22" i="33"/>
  <c r="L22" i="33" s="1"/>
  <c r="B22" i="33"/>
  <c r="X21" i="33"/>
  <c r="T21" i="33"/>
  <c r="Z21" i="33" s="1"/>
  <c r="P21" i="33"/>
  <c r="L21" i="33"/>
  <c r="H21" i="33"/>
  <c r="N21" i="33" s="1"/>
  <c r="D21" i="33"/>
  <c r="B21" i="33"/>
  <c r="T20" i="33"/>
  <c r="X20" i="33" s="1"/>
  <c r="Z20" i="33" s="1"/>
  <c r="P20" i="33"/>
  <c r="H20" i="33"/>
  <c r="D20" i="33"/>
  <c r="L20" i="33" s="1"/>
  <c r="N20" i="33" s="1"/>
  <c r="B20" i="33"/>
  <c r="X19" i="33"/>
  <c r="Z19" i="33" s="1"/>
  <c r="T19" i="33"/>
  <c r="P19" i="33"/>
  <c r="H19" i="33"/>
  <c r="N19" i="33" s="1"/>
  <c r="D19" i="33"/>
  <c r="L19" i="33" s="1"/>
  <c r="B19" i="33"/>
  <c r="T18" i="33"/>
  <c r="P18" i="33"/>
  <c r="X18" i="33" s="1"/>
  <c r="Z18" i="33" s="1"/>
  <c r="H18" i="33"/>
  <c r="N18" i="33" s="1"/>
  <c r="D18" i="33"/>
  <c r="L18" i="33" s="1"/>
  <c r="B18" i="33"/>
  <c r="X17" i="33"/>
  <c r="T17" i="33"/>
  <c r="Z17" i="33" s="1"/>
  <c r="P17" i="33"/>
  <c r="L17" i="33"/>
  <c r="H17" i="33"/>
  <c r="N17" i="33" s="1"/>
  <c r="D17" i="33"/>
  <c r="B17" i="33"/>
  <c r="T16" i="33"/>
  <c r="P16" i="33"/>
  <c r="X16" i="33" s="1"/>
  <c r="Z16" i="33" s="1"/>
  <c r="H16" i="33"/>
  <c r="L16" i="33" s="1"/>
  <c r="N16" i="33" s="1"/>
  <c r="D16" i="33"/>
  <c r="B16" i="33"/>
  <c r="T15" i="33"/>
  <c r="P15" i="33"/>
  <c r="X15" i="33" s="1"/>
  <c r="L15" i="33"/>
  <c r="N15" i="33" s="1"/>
  <c r="H15" i="33"/>
  <c r="D15" i="33"/>
  <c r="D12" i="33" s="1"/>
  <c r="B15" i="33"/>
  <c r="T14" i="33"/>
  <c r="P14" i="33"/>
  <c r="X14" i="33" s="1"/>
  <c r="H14" i="33"/>
  <c r="H12" i="33" s="1"/>
  <c r="D14" i="33"/>
  <c r="L14" i="33" s="1"/>
  <c r="N14" i="33" s="1"/>
  <c r="B14" i="33"/>
  <c r="X13" i="33"/>
  <c r="T13" i="33"/>
  <c r="Z13" i="33" s="1"/>
  <c r="P13" i="33"/>
  <c r="P12" i="33" s="1"/>
  <c r="L13" i="33"/>
  <c r="H13" i="33"/>
  <c r="N13" i="33" s="1"/>
  <c r="D13" i="33"/>
  <c r="B13" i="33"/>
  <c r="T12" i="33"/>
  <c r="V71" i="33" s="1"/>
  <c r="D4" i="33"/>
  <c r="B39" i="32"/>
  <c r="B38" i="32"/>
  <c r="T34" i="32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P21" i="32"/>
  <c r="H21" i="32"/>
  <c r="N21" i="32" s="1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20" i="32" s="1"/>
  <c r="P12" i="32"/>
  <c r="R36" i="32" s="1"/>
  <c r="H12" i="32"/>
  <c r="J34" i="32" s="1"/>
  <c r="D12" i="32"/>
  <c r="F34" i="32" s="1"/>
  <c r="D5" i="32"/>
  <c r="D4" i="32"/>
  <c r="B39" i="31"/>
  <c r="B38" i="31"/>
  <c r="T34" i="3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P13" i="31"/>
  <c r="H13" i="31"/>
  <c r="N13" i="31" s="1"/>
  <c r="D13" i="31"/>
  <c r="B13" i="31"/>
  <c r="T12" i="31"/>
  <c r="V22" i="31" s="1"/>
  <c r="P12" i="31"/>
  <c r="H12" i="31"/>
  <c r="J20" i="31" s="1"/>
  <c r="D12" i="31"/>
  <c r="F22" i="31" s="1"/>
  <c r="D5" i="31"/>
  <c r="D4" i="31"/>
  <c r="X142" i="30"/>
  <c r="Z142" i="30" s="1"/>
  <c r="L142" i="30"/>
  <c r="N142" i="30" s="1"/>
  <c r="X138" i="30"/>
  <c r="T138" i="30"/>
  <c r="Z138" i="30" s="1"/>
  <c r="P138" i="30"/>
  <c r="H138" i="30"/>
  <c r="H136" i="30" s="1"/>
  <c r="D138" i="30"/>
  <c r="L138" i="30" s="1"/>
  <c r="B138" i="30"/>
  <c r="T137" i="30"/>
  <c r="P137" i="30"/>
  <c r="N137" i="30"/>
  <c r="H137" i="30"/>
  <c r="D137" i="30"/>
  <c r="L137" i="30" s="1"/>
  <c r="B137" i="30"/>
  <c r="T136" i="30"/>
  <c r="Z136" i="30" s="1"/>
  <c r="P136" i="30"/>
  <c r="X136" i="30" s="1"/>
  <c r="D136" i="30"/>
  <c r="X134" i="30"/>
  <c r="Z134" i="30" s="1"/>
  <c r="L134" i="30"/>
  <c r="N134" i="30" s="1"/>
  <c r="B134" i="30"/>
  <c r="X133" i="30"/>
  <c r="Z133" i="30" s="1"/>
  <c r="T133" i="30"/>
  <c r="P133" i="30"/>
  <c r="H133" i="30"/>
  <c r="D133" i="30"/>
  <c r="B133" i="30"/>
  <c r="X132" i="30"/>
  <c r="Z132" i="30" s="1"/>
  <c r="L132" i="30"/>
  <c r="N132" i="30" s="1"/>
  <c r="B132" i="30"/>
  <c r="T131" i="30"/>
  <c r="P131" i="30"/>
  <c r="H131" i="30"/>
  <c r="D131" i="30"/>
  <c r="L131" i="30" s="1"/>
  <c r="B131" i="30"/>
  <c r="X130" i="30"/>
  <c r="Z130" i="30" s="1"/>
  <c r="N130" i="30"/>
  <c r="L130" i="30"/>
  <c r="B130" i="30"/>
  <c r="T129" i="30"/>
  <c r="Z129" i="30" s="1"/>
  <c r="P129" i="30"/>
  <c r="X129" i="30" s="1"/>
  <c r="H129" i="30"/>
  <c r="D129" i="30"/>
  <c r="L129" i="30" s="1"/>
  <c r="N129" i="30" s="1"/>
  <c r="B129" i="30"/>
  <c r="Z128" i="30"/>
  <c r="X128" i="30"/>
  <c r="N128" i="30"/>
  <c r="L128" i="30"/>
  <c r="B128" i="30"/>
  <c r="Z127" i="30"/>
  <c r="X127" i="30"/>
  <c r="L127" i="30"/>
  <c r="N127" i="30" s="1"/>
  <c r="B127" i="30"/>
  <c r="Z126" i="30"/>
  <c r="X126" i="30"/>
  <c r="N126" i="30"/>
  <c r="L126" i="30"/>
  <c r="B126" i="30"/>
  <c r="X125" i="30"/>
  <c r="Z125" i="30" s="1"/>
  <c r="N125" i="30"/>
  <c r="L125" i="30"/>
  <c r="B125" i="30"/>
  <c r="T124" i="30"/>
  <c r="P124" i="30"/>
  <c r="X124" i="30" s="1"/>
  <c r="Z124" i="30" s="1"/>
  <c r="L124" i="30"/>
  <c r="N124" i="30" s="1"/>
  <c r="H124" i="30"/>
  <c r="D124" i="30"/>
  <c r="B124" i="30"/>
  <c r="Z123" i="30"/>
  <c r="X123" i="30"/>
  <c r="N123" i="30"/>
  <c r="L123" i="30"/>
  <c r="B123" i="30"/>
  <c r="T122" i="30"/>
  <c r="P122" i="30"/>
  <c r="X122" i="30" s="1"/>
  <c r="Z122" i="30" s="1"/>
  <c r="N122" i="30"/>
  <c r="L122" i="30"/>
  <c r="H122" i="30"/>
  <c r="D122" i="30"/>
  <c r="B122" i="30"/>
  <c r="X121" i="30"/>
  <c r="Z121" i="30" s="1"/>
  <c r="N121" i="30"/>
  <c r="L121" i="30"/>
  <c r="B121" i="30"/>
  <c r="X120" i="30"/>
  <c r="Z120" i="30" s="1"/>
  <c r="L120" i="30"/>
  <c r="N120" i="30" s="1"/>
  <c r="B120" i="30"/>
  <c r="T119" i="30"/>
  <c r="P119" i="30"/>
  <c r="X119" i="30" s="1"/>
  <c r="Z119" i="30" s="1"/>
  <c r="L119" i="30"/>
  <c r="N119" i="30" s="1"/>
  <c r="H119" i="30"/>
  <c r="D119" i="30"/>
  <c r="B119" i="30"/>
  <c r="Z118" i="30"/>
  <c r="X118" i="30"/>
  <c r="N118" i="30"/>
  <c r="L118" i="30"/>
  <c r="B118" i="30"/>
  <c r="X117" i="30"/>
  <c r="Z117" i="30" s="1"/>
  <c r="N117" i="30"/>
  <c r="L117" i="30"/>
  <c r="B117" i="30"/>
  <c r="X116" i="30"/>
  <c r="Z116" i="30" s="1"/>
  <c r="T116" i="30"/>
  <c r="P116" i="30"/>
  <c r="H116" i="30"/>
  <c r="D116" i="30"/>
  <c r="B116" i="30"/>
  <c r="Z115" i="30"/>
  <c r="X115" i="30"/>
  <c r="N115" i="30"/>
  <c r="L115" i="30"/>
  <c r="B115" i="30"/>
  <c r="Z114" i="30"/>
  <c r="X114" i="30"/>
  <c r="N114" i="30"/>
  <c r="L114" i="30"/>
  <c r="B114" i="30"/>
  <c r="Z113" i="30"/>
  <c r="T113" i="30"/>
  <c r="P113" i="30"/>
  <c r="X113" i="30" s="1"/>
  <c r="N113" i="30"/>
  <c r="L113" i="30"/>
  <c r="H113" i="30"/>
  <c r="D113" i="30"/>
  <c r="B113" i="30"/>
  <c r="X112" i="30"/>
  <c r="Z112" i="30" s="1"/>
  <c r="L112" i="30"/>
  <c r="N112" i="30" s="1"/>
  <c r="B112" i="30"/>
  <c r="T111" i="30"/>
  <c r="X111" i="30" s="1"/>
  <c r="P111" i="30"/>
  <c r="H111" i="30"/>
  <c r="D111" i="30"/>
  <c r="B111" i="30"/>
  <c r="Z110" i="30"/>
  <c r="X110" i="30"/>
  <c r="N110" i="30"/>
  <c r="L110" i="30"/>
  <c r="B110" i="30"/>
  <c r="X109" i="30"/>
  <c r="Z109" i="30" s="1"/>
  <c r="N109" i="30"/>
  <c r="L109" i="30"/>
  <c r="B109" i="30"/>
  <c r="T108" i="30"/>
  <c r="Z108" i="30" s="1"/>
  <c r="P108" i="30"/>
  <c r="X108" i="30" s="1"/>
  <c r="H108" i="30"/>
  <c r="D108" i="30"/>
  <c r="L108" i="30" s="1"/>
  <c r="N108" i="30" s="1"/>
  <c r="B108" i="30"/>
  <c r="X107" i="30"/>
  <c r="Z107" i="30" s="1"/>
  <c r="L107" i="30"/>
  <c r="N107" i="30" s="1"/>
  <c r="B107" i="30"/>
  <c r="T106" i="30"/>
  <c r="P106" i="30"/>
  <c r="X106" i="30" s="1"/>
  <c r="Z106" i="30" s="1"/>
  <c r="L106" i="30"/>
  <c r="H106" i="30"/>
  <c r="N106" i="30" s="1"/>
  <c r="D106" i="30"/>
  <c r="B106" i="30"/>
  <c r="Z105" i="30"/>
  <c r="X105" i="30"/>
  <c r="N105" i="30"/>
  <c r="L105" i="30"/>
  <c r="B105" i="30"/>
  <c r="X104" i="30"/>
  <c r="Z104" i="30" s="1"/>
  <c r="L104" i="30"/>
  <c r="N104" i="30" s="1"/>
  <c r="B104" i="30"/>
  <c r="T103" i="30"/>
  <c r="P103" i="30"/>
  <c r="X103" i="30" s="1"/>
  <c r="Z103" i="30" s="1"/>
  <c r="N103" i="30"/>
  <c r="L103" i="30"/>
  <c r="H103" i="30"/>
  <c r="D103" i="30"/>
  <c r="B103" i="30"/>
  <c r="Z102" i="30"/>
  <c r="X102" i="30"/>
  <c r="N102" i="30"/>
  <c r="L102" i="30"/>
  <c r="B102" i="30"/>
  <c r="Z101" i="30"/>
  <c r="T101" i="30"/>
  <c r="X101" i="30" s="1"/>
  <c r="P101" i="30"/>
  <c r="L101" i="30"/>
  <c r="H101" i="30"/>
  <c r="N101" i="30" s="1"/>
  <c r="D101" i="30"/>
  <c r="B101" i="30"/>
  <c r="Z100" i="30"/>
  <c r="X100" i="30"/>
  <c r="N100" i="30"/>
  <c r="L100" i="30"/>
  <c r="B100" i="30"/>
  <c r="Z99" i="30"/>
  <c r="X99" i="30"/>
  <c r="N99" i="30"/>
  <c r="L99" i="30"/>
  <c r="B99" i="30"/>
  <c r="Z98" i="30"/>
  <c r="T98" i="30"/>
  <c r="P98" i="30"/>
  <c r="X98" i="30" s="1"/>
  <c r="N98" i="30"/>
  <c r="H98" i="30"/>
  <c r="D98" i="30"/>
  <c r="L98" i="30" s="1"/>
  <c r="B98" i="30"/>
  <c r="X97" i="30"/>
  <c r="Z97" i="30" s="1"/>
  <c r="N97" i="30"/>
  <c r="L97" i="30"/>
  <c r="B97" i="30"/>
  <c r="T96" i="30"/>
  <c r="P96" i="30"/>
  <c r="X96" i="30" s="1"/>
  <c r="Z96" i="30" s="1"/>
  <c r="N96" i="30"/>
  <c r="L96" i="30"/>
  <c r="H96" i="30"/>
  <c r="D96" i="30"/>
  <c r="B96" i="30"/>
  <c r="X95" i="30"/>
  <c r="Z95" i="30" s="1"/>
  <c r="L95" i="30"/>
  <c r="N95" i="30" s="1"/>
  <c r="B95" i="30"/>
  <c r="Z94" i="30"/>
  <c r="X94" i="30"/>
  <c r="T94" i="30"/>
  <c r="P94" i="30"/>
  <c r="L94" i="30"/>
  <c r="H94" i="30"/>
  <c r="N94" i="30" s="1"/>
  <c r="D94" i="30"/>
  <c r="B94" i="30"/>
  <c r="Z93" i="30"/>
  <c r="X93" i="30"/>
  <c r="N93" i="30"/>
  <c r="L93" i="30"/>
  <c r="B93" i="30"/>
  <c r="T92" i="30"/>
  <c r="P92" i="30"/>
  <c r="H92" i="30"/>
  <c r="D92" i="30"/>
  <c r="L92" i="30" s="1"/>
  <c r="B92" i="30"/>
  <c r="X91" i="30"/>
  <c r="Z91" i="30" s="1"/>
  <c r="N91" i="30"/>
  <c r="L91" i="30"/>
  <c r="B91" i="30"/>
  <c r="X90" i="30"/>
  <c r="Z90" i="30" s="1"/>
  <c r="L90" i="30"/>
  <c r="N90" i="30" s="1"/>
  <c r="B90" i="30"/>
  <c r="Z89" i="30"/>
  <c r="X89" i="30"/>
  <c r="N89" i="30"/>
  <c r="L89" i="30"/>
  <c r="B89" i="30"/>
  <c r="X88" i="30"/>
  <c r="Z88" i="30" s="1"/>
  <c r="L88" i="30"/>
  <c r="N88" i="30" s="1"/>
  <c r="B88" i="30"/>
  <c r="Z87" i="30"/>
  <c r="X87" i="30"/>
  <c r="L87" i="30"/>
  <c r="N87" i="30" s="1"/>
  <c r="B87" i="30"/>
  <c r="T86" i="30"/>
  <c r="Z86" i="30" s="1"/>
  <c r="P86" i="30"/>
  <c r="X86" i="30" s="1"/>
  <c r="H86" i="30"/>
  <c r="D86" i="30"/>
  <c r="L86" i="30" s="1"/>
  <c r="B86" i="30"/>
  <c r="Z85" i="30"/>
  <c r="X85" i="30"/>
  <c r="N85" i="30"/>
  <c r="L85" i="30"/>
  <c r="B85" i="30"/>
  <c r="X84" i="30"/>
  <c r="Z84" i="30" s="1"/>
  <c r="L84" i="30"/>
  <c r="N84" i="30" s="1"/>
  <c r="B84" i="30"/>
  <c r="Z83" i="30"/>
  <c r="X83" i="30"/>
  <c r="N83" i="30"/>
  <c r="L83" i="30"/>
  <c r="B83" i="30"/>
  <c r="X82" i="30"/>
  <c r="Z82" i="30" s="1"/>
  <c r="L82" i="30"/>
  <c r="N82" i="30" s="1"/>
  <c r="B82" i="30"/>
  <c r="Z81" i="30"/>
  <c r="X81" i="30"/>
  <c r="L81" i="30"/>
  <c r="N81" i="30" s="1"/>
  <c r="B81" i="30"/>
  <c r="X80" i="30"/>
  <c r="Z80" i="30" s="1"/>
  <c r="L80" i="30"/>
  <c r="N80" i="30" s="1"/>
  <c r="B80" i="30"/>
  <c r="X79" i="30"/>
  <c r="Z79" i="30" s="1"/>
  <c r="N79" i="30"/>
  <c r="L79" i="30"/>
  <c r="B79" i="30"/>
  <c r="X78" i="30"/>
  <c r="Z78" i="30" s="1"/>
  <c r="L78" i="30"/>
  <c r="N78" i="30" s="1"/>
  <c r="B78" i="30"/>
  <c r="T77" i="30"/>
  <c r="Z77" i="30" s="1"/>
  <c r="P77" i="30"/>
  <c r="X77" i="30" s="1"/>
  <c r="H77" i="30"/>
  <c r="N77" i="30" s="1"/>
  <c r="D77" i="30"/>
  <c r="L77" i="30" s="1"/>
  <c r="B77" i="30"/>
  <c r="T76" i="30"/>
  <c r="Z76" i="30" s="1"/>
  <c r="P76" i="30"/>
  <c r="X76" i="30" s="1"/>
  <c r="H76" i="30"/>
  <c r="D76" i="30"/>
  <c r="L76" i="30" s="1"/>
  <c r="X72" i="30"/>
  <c r="Z72" i="30" s="1"/>
  <c r="L72" i="30"/>
  <c r="N72" i="30" s="1"/>
  <c r="B72" i="30"/>
  <c r="Z71" i="30"/>
  <c r="X71" i="30"/>
  <c r="N71" i="30"/>
  <c r="L71" i="30"/>
  <c r="B71" i="30"/>
  <c r="X70" i="30"/>
  <c r="Z70" i="30" s="1"/>
  <c r="N70" i="30"/>
  <c r="L70" i="30"/>
  <c r="B70" i="30"/>
  <c r="Z69" i="30"/>
  <c r="X69" i="30"/>
  <c r="N69" i="30"/>
  <c r="L69" i="30"/>
  <c r="B69" i="30"/>
  <c r="X68" i="30"/>
  <c r="Z68" i="30" s="1"/>
  <c r="L68" i="30"/>
  <c r="N68" i="30" s="1"/>
  <c r="B68" i="30"/>
  <c r="Z67" i="30"/>
  <c r="X67" i="30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X64" i="30"/>
  <c r="Z64" i="30" s="1"/>
  <c r="L64" i="30"/>
  <c r="N64" i="30" s="1"/>
  <c r="B64" i="30"/>
  <c r="Z63" i="30"/>
  <c r="X63" i="30"/>
  <c r="N63" i="30"/>
  <c r="L63" i="30"/>
  <c r="B63" i="30"/>
  <c r="Z62" i="30"/>
  <c r="X62" i="30"/>
  <c r="N62" i="30"/>
  <c r="L62" i="30"/>
  <c r="B62" i="30"/>
  <c r="Z61" i="30"/>
  <c r="X61" i="30"/>
  <c r="N61" i="30"/>
  <c r="L61" i="30"/>
  <c r="B61" i="30"/>
  <c r="X60" i="30"/>
  <c r="Z60" i="30" s="1"/>
  <c r="L60" i="30"/>
  <c r="N60" i="30" s="1"/>
  <c r="B60" i="30"/>
  <c r="Z59" i="30"/>
  <c r="X59" i="30"/>
  <c r="N59" i="30"/>
  <c r="L59" i="30"/>
  <c r="B59" i="30"/>
  <c r="X58" i="30"/>
  <c r="Z58" i="30" s="1"/>
  <c r="L58" i="30"/>
  <c r="N58" i="30" s="1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B54" i="30"/>
  <c r="T53" i="30"/>
  <c r="P53" i="30"/>
  <c r="X53" i="30" s="1"/>
  <c r="Z53" i="30" s="1"/>
  <c r="H53" i="30"/>
  <c r="D53" i="30"/>
  <c r="L53" i="30" s="1"/>
  <c r="N53" i="30" s="1"/>
  <c r="T51" i="30"/>
  <c r="P51" i="30"/>
  <c r="H51" i="30"/>
  <c r="D51" i="30"/>
  <c r="L51" i="30" s="1"/>
  <c r="N51" i="30" s="1"/>
  <c r="B51" i="30"/>
  <c r="T50" i="30"/>
  <c r="P50" i="30"/>
  <c r="X50" i="30" s="1"/>
  <c r="Z50" i="30" s="1"/>
  <c r="L50" i="30"/>
  <c r="H50" i="30"/>
  <c r="N50" i="30" s="1"/>
  <c r="D50" i="30"/>
  <c r="B50" i="30"/>
  <c r="T49" i="30"/>
  <c r="P49" i="30"/>
  <c r="X49" i="30" s="1"/>
  <c r="H49" i="30"/>
  <c r="D49" i="30"/>
  <c r="L49" i="30" s="1"/>
  <c r="N49" i="30" s="1"/>
  <c r="B49" i="30"/>
  <c r="Z48" i="30"/>
  <c r="X48" i="30"/>
  <c r="T48" i="30"/>
  <c r="P48" i="30"/>
  <c r="H48" i="30"/>
  <c r="N48" i="30" s="1"/>
  <c r="D48" i="30"/>
  <c r="L48" i="30" s="1"/>
  <c r="B48" i="30"/>
  <c r="T47" i="30"/>
  <c r="P47" i="30"/>
  <c r="X47" i="30" s="1"/>
  <c r="Z47" i="30" s="1"/>
  <c r="H47" i="30"/>
  <c r="N47" i="30" s="1"/>
  <c r="D47" i="30"/>
  <c r="L47" i="30" s="1"/>
  <c r="B47" i="30"/>
  <c r="X46" i="30"/>
  <c r="T46" i="30"/>
  <c r="Z46" i="30" s="1"/>
  <c r="P46" i="30"/>
  <c r="H46" i="30"/>
  <c r="N46" i="30" s="1"/>
  <c r="D46" i="30"/>
  <c r="L46" i="30" s="1"/>
  <c r="B46" i="30"/>
  <c r="T45" i="30"/>
  <c r="P45" i="30"/>
  <c r="X45" i="30" s="1"/>
  <c r="Z45" i="30" s="1"/>
  <c r="H45" i="30"/>
  <c r="N45" i="30" s="1"/>
  <c r="D45" i="30"/>
  <c r="L45" i="30" s="1"/>
  <c r="B45" i="30"/>
  <c r="T44" i="30"/>
  <c r="Z44" i="30" s="1"/>
  <c r="P44" i="30"/>
  <c r="X44" i="30" s="1"/>
  <c r="L44" i="30"/>
  <c r="H44" i="30"/>
  <c r="N44" i="30" s="1"/>
  <c r="D44" i="30"/>
  <c r="B44" i="30"/>
  <c r="T43" i="30"/>
  <c r="Z43" i="30" s="1"/>
  <c r="P43" i="30"/>
  <c r="X43" i="30" s="1"/>
  <c r="H43" i="30"/>
  <c r="D43" i="30"/>
  <c r="L43" i="30" s="1"/>
  <c r="N43" i="30" s="1"/>
  <c r="B43" i="30"/>
  <c r="T42" i="30"/>
  <c r="P42" i="30"/>
  <c r="X42" i="30" s="1"/>
  <c r="L42" i="30"/>
  <c r="H42" i="30"/>
  <c r="N42" i="30" s="1"/>
  <c r="D42" i="30"/>
  <c r="B42" i="30"/>
  <c r="T41" i="30"/>
  <c r="P41" i="30"/>
  <c r="N41" i="30"/>
  <c r="L41" i="30"/>
  <c r="H41" i="30"/>
  <c r="D41" i="30"/>
  <c r="B41" i="30"/>
  <c r="X40" i="30"/>
  <c r="Z40" i="30" s="1"/>
  <c r="T40" i="30"/>
  <c r="P40" i="30"/>
  <c r="N40" i="30"/>
  <c r="H40" i="30"/>
  <c r="D40" i="30"/>
  <c r="L40" i="30" s="1"/>
  <c r="B40" i="30"/>
  <c r="Z39" i="30"/>
  <c r="T39" i="30"/>
  <c r="P39" i="30"/>
  <c r="X39" i="30" s="1"/>
  <c r="H39" i="30"/>
  <c r="N39" i="30" s="1"/>
  <c r="D39" i="30"/>
  <c r="L39" i="30" s="1"/>
  <c r="B39" i="30"/>
  <c r="T38" i="30"/>
  <c r="P38" i="30"/>
  <c r="H38" i="30"/>
  <c r="D38" i="30"/>
  <c r="L38" i="30" s="1"/>
  <c r="B38" i="30"/>
  <c r="X37" i="30"/>
  <c r="Z37" i="30" s="1"/>
  <c r="T37" i="30"/>
  <c r="P37" i="30"/>
  <c r="H37" i="30"/>
  <c r="D37" i="30"/>
  <c r="B37" i="30"/>
  <c r="T36" i="30"/>
  <c r="P36" i="30"/>
  <c r="X36" i="30" s="1"/>
  <c r="Z36" i="30" s="1"/>
  <c r="L36" i="30"/>
  <c r="N36" i="30" s="1"/>
  <c r="H36" i="30"/>
  <c r="D36" i="30"/>
  <c r="B36" i="30"/>
  <c r="T35" i="30"/>
  <c r="Z35" i="30" s="1"/>
  <c r="P35" i="30"/>
  <c r="X35" i="30" s="1"/>
  <c r="H35" i="30"/>
  <c r="D35" i="30"/>
  <c r="L35" i="30" s="1"/>
  <c r="N35" i="30" s="1"/>
  <c r="B35" i="30"/>
  <c r="T34" i="30"/>
  <c r="P34" i="30"/>
  <c r="X34" i="30" s="1"/>
  <c r="L34" i="30"/>
  <c r="H34" i="30"/>
  <c r="N34" i="30" s="1"/>
  <c r="D34" i="30"/>
  <c r="B34" i="30"/>
  <c r="T33" i="30"/>
  <c r="P33" i="30"/>
  <c r="L33" i="30"/>
  <c r="N33" i="30" s="1"/>
  <c r="H33" i="30"/>
  <c r="D33" i="30"/>
  <c r="B33" i="30"/>
  <c r="X32" i="30"/>
  <c r="Z32" i="30" s="1"/>
  <c r="T32" i="30"/>
  <c r="P32" i="30"/>
  <c r="N32" i="30"/>
  <c r="H32" i="30"/>
  <c r="D32" i="30"/>
  <c r="L32" i="30" s="1"/>
  <c r="B32" i="30"/>
  <c r="T31" i="30"/>
  <c r="P31" i="30"/>
  <c r="X31" i="30" s="1"/>
  <c r="Z31" i="30" s="1"/>
  <c r="H31" i="30"/>
  <c r="N31" i="30" s="1"/>
  <c r="D31" i="30"/>
  <c r="L31" i="30" s="1"/>
  <c r="B31" i="30"/>
  <c r="X30" i="30"/>
  <c r="T30" i="30"/>
  <c r="Z30" i="30" s="1"/>
  <c r="P30" i="30"/>
  <c r="H30" i="30"/>
  <c r="N30" i="30" s="1"/>
  <c r="D30" i="30"/>
  <c r="L30" i="30" s="1"/>
  <c r="B30" i="30"/>
  <c r="Z29" i="30"/>
  <c r="X29" i="30"/>
  <c r="T29" i="30"/>
  <c r="P29" i="30"/>
  <c r="H29" i="30"/>
  <c r="N29" i="30" s="1"/>
  <c r="D29" i="30"/>
  <c r="B29" i="30"/>
  <c r="T28" i="30"/>
  <c r="P28" i="30"/>
  <c r="X28" i="30" s="1"/>
  <c r="Z28" i="30" s="1"/>
  <c r="L28" i="30"/>
  <c r="N28" i="30" s="1"/>
  <c r="H28" i="30"/>
  <c r="D28" i="30"/>
  <c r="B28" i="30"/>
  <c r="T27" i="30"/>
  <c r="Z27" i="30" s="1"/>
  <c r="P27" i="30"/>
  <c r="X27" i="30" s="1"/>
  <c r="H27" i="30"/>
  <c r="D27" i="30"/>
  <c r="L27" i="30" s="1"/>
  <c r="N27" i="30" s="1"/>
  <c r="B27" i="30"/>
  <c r="T26" i="30"/>
  <c r="P26" i="30"/>
  <c r="X26" i="30" s="1"/>
  <c r="L26" i="30"/>
  <c r="H26" i="30"/>
  <c r="N26" i="30" s="1"/>
  <c r="D26" i="30"/>
  <c r="B26" i="30"/>
  <c r="T25" i="30"/>
  <c r="Z25" i="30" s="1"/>
  <c r="P25" i="30"/>
  <c r="N25" i="30"/>
  <c r="L25" i="30"/>
  <c r="H25" i="30"/>
  <c r="D25" i="30"/>
  <c r="B25" i="30"/>
  <c r="X24" i="30"/>
  <c r="Z24" i="30" s="1"/>
  <c r="T24" i="30"/>
  <c r="P24" i="30"/>
  <c r="H24" i="30"/>
  <c r="D24" i="30"/>
  <c r="L24" i="30" s="1"/>
  <c r="N24" i="30" s="1"/>
  <c r="B24" i="30"/>
  <c r="T23" i="30"/>
  <c r="P23" i="30"/>
  <c r="X23" i="30" s="1"/>
  <c r="Z23" i="30" s="1"/>
  <c r="H23" i="30"/>
  <c r="N23" i="30" s="1"/>
  <c r="D23" i="30"/>
  <c r="L23" i="30" s="1"/>
  <c r="B23" i="30"/>
  <c r="X22" i="30"/>
  <c r="T22" i="30"/>
  <c r="Z22" i="30" s="1"/>
  <c r="P22" i="30"/>
  <c r="H22" i="30"/>
  <c r="N22" i="30" s="1"/>
  <c r="D22" i="30"/>
  <c r="L22" i="30" s="1"/>
  <c r="B22" i="30"/>
  <c r="Z21" i="30"/>
  <c r="X21" i="30"/>
  <c r="T21" i="30"/>
  <c r="P21" i="30"/>
  <c r="H21" i="30"/>
  <c r="D21" i="30"/>
  <c r="B21" i="30"/>
  <c r="T20" i="30"/>
  <c r="P20" i="30"/>
  <c r="X20" i="30" s="1"/>
  <c r="Z20" i="30" s="1"/>
  <c r="L20" i="30"/>
  <c r="N20" i="30" s="1"/>
  <c r="H20" i="30"/>
  <c r="D20" i="30"/>
  <c r="B20" i="30"/>
  <c r="T19" i="30"/>
  <c r="Z19" i="30" s="1"/>
  <c r="P19" i="30"/>
  <c r="X19" i="30" s="1"/>
  <c r="H19" i="30"/>
  <c r="D19" i="30"/>
  <c r="L19" i="30" s="1"/>
  <c r="N19" i="30" s="1"/>
  <c r="B19" i="30"/>
  <c r="T18" i="30"/>
  <c r="P18" i="30"/>
  <c r="X18" i="30" s="1"/>
  <c r="L18" i="30"/>
  <c r="H18" i="30"/>
  <c r="N18" i="30" s="1"/>
  <c r="D18" i="30"/>
  <c r="B18" i="30"/>
  <c r="T17" i="30"/>
  <c r="T12" i="30" s="1"/>
  <c r="P17" i="30"/>
  <c r="H17" i="30"/>
  <c r="D17" i="30"/>
  <c r="L17" i="30" s="1"/>
  <c r="N17" i="30" s="1"/>
  <c r="B17" i="30"/>
  <c r="X16" i="30"/>
  <c r="Z16" i="30" s="1"/>
  <c r="T16" i="30"/>
  <c r="P16" i="30"/>
  <c r="N16" i="30"/>
  <c r="H16" i="30"/>
  <c r="D16" i="30"/>
  <c r="L16" i="30" s="1"/>
  <c r="B16" i="30"/>
  <c r="T15" i="30"/>
  <c r="P15" i="30"/>
  <c r="X15" i="30" s="1"/>
  <c r="Z15" i="30" s="1"/>
  <c r="H15" i="30"/>
  <c r="D15" i="30"/>
  <c r="L15" i="30" s="1"/>
  <c r="B15" i="30"/>
  <c r="X14" i="30"/>
  <c r="T14" i="30"/>
  <c r="Z14" i="30" s="1"/>
  <c r="P14" i="30"/>
  <c r="H14" i="30"/>
  <c r="N14" i="30" s="1"/>
  <c r="D14" i="30"/>
  <c r="L14" i="30" s="1"/>
  <c r="B14" i="30"/>
  <c r="Z13" i="30"/>
  <c r="X13" i="30"/>
  <c r="T13" i="30"/>
  <c r="P13" i="30"/>
  <c r="H13" i="30"/>
  <c r="D13" i="30"/>
  <c r="B13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34" i="29" s="1"/>
  <c r="P12" i="29"/>
  <c r="H12" i="29"/>
  <c r="D12" i="29"/>
  <c r="F34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20" i="28" s="1"/>
  <c r="P12" i="28"/>
  <c r="R22" i="28" s="1"/>
  <c r="H12" i="28"/>
  <c r="J24" i="28" s="1"/>
  <c r="D12" i="28"/>
  <c r="F20" i="28" s="1"/>
  <c r="D5" i="28"/>
  <c r="D4" i="28"/>
  <c r="X106" i="27"/>
  <c r="Z106" i="27" s="1"/>
  <c r="L106" i="27"/>
  <c r="N106" i="27" s="1"/>
  <c r="X102" i="27"/>
  <c r="T102" i="27"/>
  <c r="Z102" i="27" s="1"/>
  <c r="P102" i="27"/>
  <c r="H102" i="27"/>
  <c r="N102" i="27" s="1"/>
  <c r="D102" i="27"/>
  <c r="L102" i="27" s="1"/>
  <c r="B102" i="27"/>
  <c r="X101" i="27"/>
  <c r="T101" i="27"/>
  <c r="Z101" i="27" s="1"/>
  <c r="P101" i="27"/>
  <c r="L101" i="27"/>
  <c r="H101" i="27"/>
  <c r="N101" i="27" s="1"/>
  <c r="D101" i="27"/>
  <c r="B101" i="27"/>
  <c r="X100" i="27"/>
  <c r="T100" i="27"/>
  <c r="Z100" i="27" s="1"/>
  <c r="P100" i="27"/>
  <c r="L100" i="27"/>
  <c r="H100" i="27"/>
  <c r="N100" i="27" s="1"/>
  <c r="D100" i="27"/>
  <c r="B100" i="27"/>
  <c r="T99" i="27"/>
  <c r="P99" i="27"/>
  <c r="X99" i="27" s="1"/>
  <c r="H99" i="27"/>
  <c r="D99" i="27"/>
  <c r="X97" i="27"/>
  <c r="Z97" i="27" s="1"/>
  <c r="N97" i="27"/>
  <c r="L97" i="27"/>
  <c r="B97" i="27"/>
  <c r="T96" i="27"/>
  <c r="P96" i="27"/>
  <c r="X96" i="27" s="1"/>
  <c r="Z96" i="27" s="1"/>
  <c r="L96" i="27"/>
  <c r="H96" i="27"/>
  <c r="N96" i="27" s="1"/>
  <c r="D96" i="27"/>
  <c r="B96" i="27"/>
  <c r="Z95" i="27"/>
  <c r="X95" i="27"/>
  <c r="N95" i="27"/>
  <c r="L95" i="27"/>
  <c r="B95" i="27"/>
  <c r="X94" i="27"/>
  <c r="Z94" i="27" s="1"/>
  <c r="N94" i="27"/>
  <c r="L94" i="27"/>
  <c r="B94" i="27"/>
  <c r="T93" i="27"/>
  <c r="P93" i="27"/>
  <c r="X93" i="27" s="1"/>
  <c r="Z93" i="27" s="1"/>
  <c r="L93" i="27"/>
  <c r="N93" i="27" s="1"/>
  <c r="H93" i="27"/>
  <c r="D93" i="27"/>
  <c r="B93" i="27"/>
  <c r="Z92" i="27"/>
  <c r="X92" i="27"/>
  <c r="N92" i="27"/>
  <c r="L92" i="27"/>
  <c r="B92" i="27"/>
  <c r="X91" i="27"/>
  <c r="Z91" i="27" s="1"/>
  <c r="L91" i="27"/>
  <c r="N91" i="27" s="1"/>
  <c r="B91" i="27"/>
  <c r="T90" i="27"/>
  <c r="P90" i="27"/>
  <c r="X90" i="27" s="1"/>
  <c r="Z90" i="27" s="1"/>
  <c r="L90" i="27"/>
  <c r="N90" i="27" s="1"/>
  <c r="H90" i="27"/>
  <c r="D90" i="27"/>
  <c r="B90" i="27"/>
  <c r="X89" i="27"/>
  <c r="Z89" i="27" s="1"/>
  <c r="N89" i="27"/>
  <c r="L89" i="27"/>
  <c r="B89" i="27"/>
  <c r="T88" i="27"/>
  <c r="P88" i="27"/>
  <c r="X88" i="27" s="1"/>
  <c r="Z88" i="27" s="1"/>
  <c r="L88" i="27"/>
  <c r="H88" i="27"/>
  <c r="N88" i="27" s="1"/>
  <c r="D88" i="27"/>
  <c r="B88" i="27"/>
  <c r="X87" i="27"/>
  <c r="Z87" i="27" s="1"/>
  <c r="N87" i="27"/>
  <c r="L87" i="27"/>
  <c r="B87" i="27"/>
  <c r="Z86" i="27"/>
  <c r="X86" i="27"/>
  <c r="N86" i="27"/>
  <c r="L86" i="27"/>
  <c r="B86" i="27"/>
  <c r="T85" i="27"/>
  <c r="P85" i="27"/>
  <c r="X85" i="27" s="1"/>
  <c r="Z85" i="27" s="1"/>
  <c r="N85" i="27"/>
  <c r="L85" i="27"/>
  <c r="H85" i="27"/>
  <c r="D85" i="27"/>
  <c r="B85" i="27"/>
  <c r="X84" i="27"/>
  <c r="Z84" i="27" s="1"/>
  <c r="L84" i="27"/>
  <c r="N84" i="27" s="1"/>
  <c r="B84" i="27"/>
  <c r="X83" i="27"/>
  <c r="Z83" i="27" s="1"/>
  <c r="T83" i="27"/>
  <c r="P83" i="27"/>
  <c r="H83" i="27"/>
  <c r="D83" i="27"/>
  <c r="B83" i="27"/>
  <c r="X82" i="27"/>
  <c r="Z82" i="27" s="1"/>
  <c r="N82" i="27"/>
  <c r="L82" i="27"/>
  <c r="B82" i="27"/>
  <c r="T81" i="27"/>
  <c r="P81" i="27"/>
  <c r="H81" i="27"/>
  <c r="N81" i="27" s="1"/>
  <c r="D81" i="27"/>
  <c r="L81" i="27" s="1"/>
  <c r="B81" i="27"/>
  <c r="X80" i="27"/>
  <c r="Z80" i="27" s="1"/>
  <c r="N80" i="27"/>
  <c r="L80" i="27"/>
  <c r="B80" i="27"/>
  <c r="T79" i="27"/>
  <c r="Z79" i="27" s="1"/>
  <c r="P79" i="27"/>
  <c r="X79" i="27" s="1"/>
  <c r="H79" i="27"/>
  <c r="N79" i="27" s="1"/>
  <c r="D79" i="27"/>
  <c r="L79" i="27" s="1"/>
  <c r="B79" i="27"/>
  <c r="Z78" i="27"/>
  <c r="X78" i="27"/>
  <c r="N78" i="27"/>
  <c r="L78" i="27"/>
  <c r="B78" i="27"/>
  <c r="T77" i="27"/>
  <c r="Z77" i="27" s="1"/>
  <c r="P77" i="27"/>
  <c r="X77" i="27" s="1"/>
  <c r="L77" i="27"/>
  <c r="H77" i="27"/>
  <c r="N77" i="27" s="1"/>
  <c r="D77" i="27"/>
  <c r="B77" i="27"/>
  <c r="Z76" i="27"/>
  <c r="X76" i="27"/>
  <c r="N76" i="27"/>
  <c r="L76" i="27"/>
  <c r="B76" i="27"/>
  <c r="T75" i="27"/>
  <c r="P75" i="27"/>
  <c r="L75" i="27"/>
  <c r="H75" i="27"/>
  <c r="N75" i="27" s="1"/>
  <c r="D75" i="27"/>
  <c r="B75" i="27"/>
  <c r="Z74" i="27"/>
  <c r="X74" i="27"/>
  <c r="N74" i="27"/>
  <c r="L74" i="27"/>
  <c r="B74" i="27"/>
  <c r="X73" i="27"/>
  <c r="T73" i="27"/>
  <c r="Z73" i="27" s="1"/>
  <c r="P73" i="27"/>
  <c r="H73" i="27"/>
  <c r="N73" i="27" s="1"/>
  <c r="D73" i="27"/>
  <c r="L73" i="27" s="1"/>
  <c r="B73" i="27"/>
  <c r="Z72" i="27"/>
  <c r="X72" i="27"/>
  <c r="N72" i="27"/>
  <c r="L72" i="27"/>
  <c r="B72" i="27"/>
  <c r="T71" i="27"/>
  <c r="Z71" i="27" s="1"/>
  <c r="P71" i="27"/>
  <c r="X71" i="27" s="1"/>
  <c r="H71" i="27"/>
  <c r="D71" i="27"/>
  <c r="L71" i="27" s="1"/>
  <c r="B71" i="27"/>
  <c r="Z70" i="27"/>
  <c r="X70" i="27"/>
  <c r="N70" i="27"/>
  <c r="L70" i="27"/>
  <c r="B70" i="27"/>
  <c r="X69" i="27"/>
  <c r="Z69" i="27" s="1"/>
  <c r="L69" i="27"/>
  <c r="N69" i="27" s="1"/>
  <c r="B69" i="27"/>
  <c r="X68" i="27"/>
  <c r="Z68" i="27" s="1"/>
  <c r="N68" i="27"/>
  <c r="L68" i="27"/>
  <c r="B68" i="27"/>
  <c r="Z67" i="27"/>
  <c r="X67" i="27"/>
  <c r="L67" i="27"/>
  <c r="N67" i="27" s="1"/>
  <c r="B67" i="27"/>
  <c r="X66" i="27"/>
  <c r="Z66" i="27" s="1"/>
  <c r="N66" i="27"/>
  <c r="L66" i="27"/>
  <c r="B66" i="27"/>
  <c r="X65" i="27"/>
  <c r="Z65" i="27" s="1"/>
  <c r="N65" i="27"/>
  <c r="L65" i="27"/>
  <c r="B65" i="27"/>
  <c r="X64" i="27"/>
  <c r="Z64" i="27" s="1"/>
  <c r="N64" i="27"/>
  <c r="L64" i="27"/>
  <c r="B64" i="27"/>
  <c r="T63" i="27"/>
  <c r="Z63" i="27" s="1"/>
  <c r="P63" i="27"/>
  <c r="X63" i="27" s="1"/>
  <c r="L63" i="27"/>
  <c r="H63" i="27"/>
  <c r="N63" i="27" s="1"/>
  <c r="D63" i="27"/>
  <c r="B63" i="27"/>
  <c r="X62" i="27"/>
  <c r="Z62" i="27" s="1"/>
  <c r="N62" i="27"/>
  <c r="L62" i="27"/>
  <c r="B62" i="27"/>
  <c r="X61" i="27"/>
  <c r="Z61" i="27" s="1"/>
  <c r="L61" i="27"/>
  <c r="N61" i="27" s="1"/>
  <c r="B61" i="27"/>
  <c r="Z60" i="27"/>
  <c r="X60" i="27"/>
  <c r="L60" i="27"/>
  <c r="N60" i="27" s="1"/>
  <c r="B60" i="27"/>
  <c r="X59" i="27"/>
  <c r="Z59" i="27" s="1"/>
  <c r="L59" i="27"/>
  <c r="N59" i="27" s="1"/>
  <c r="B59" i="27"/>
  <c r="Z58" i="27"/>
  <c r="X58" i="27"/>
  <c r="L58" i="27"/>
  <c r="N58" i="27" s="1"/>
  <c r="B58" i="27"/>
  <c r="X57" i="27"/>
  <c r="Z57" i="27" s="1"/>
  <c r="N57" i="27"/>
  <c r="L57" i="27"/>
  <c r="B57" i="27"/>
  <c r="X56" i="27"/>
  <c r="Z56" i="27" s="1"/>
  <c r="N56" i="27"/>
  <c r="L56" i="27"/>
  <c r="B56" i="27"/>
  <c r="Z55" i="27"/>
  <c r="X55" i="27"/>
  <c r="N55" i="27"/>
  <c r="L55" i="27"/>
  <c r="B55" i="27"/>
  <c r="X54" i="27"/>
  <c r="Z54" i="27" s="1"/>
  <c r="N54" i="27"/>
  <c r="L54" i="27"/>
  <c r="B54" i="27"/>
  <c r="T53" i="27"/>
  <c r="P53" i="27"/>
  <c r="X53" i="27" s="1"/>
  <c r="Z53" i="27" s="1"/>
  <c r="H53" i="27"/>
  <c r="D53" i="27"/>
  <c r="L53" i="27" s="1"/>
  <c r="B53" i="27"/>
  <c r="T52" i="27"/>
  <c r="Z52" i="27" s="1"/>
  <c r="P52" i="27"/>
  <c r="X52" i="27" s="1"/>
  <c r="H52" i="27"/>
  <c r="N52" i="27" s="1"/>
  <c r="D52" i="27"/>
  <c r="L52" i="27" s="1"/>
  <c r="Z48" i="27"/>
  <c r="X48" i="27"/>
  <c r="N48" i="27"/>
  <c r="L48" i="27"/>
  <c r="B48" i="27"/>
  <c r="Z47" i="27"/>
  <c r="X47" i="27"/>
  <c r="N47" i="27"/>
  <c r="L47" i="27"/>
  <c r="B47" i="27"/>
  <c r="X46" i="27"/>
  <c r="Z46" i="27" s="1"/>
  <c r="N46" i="27"/>
  <c r="L46" i="27"/>
  <c r="B46" i="27"/>
  <c r="Z45" i="27"/>
  <c r="X45" i="27"/>
  <c r="N45" i="27"/>
  <c r="L45" i="27"/>
  <c r="B45" i="27"/>
  <c r="X44" i="27"/>
  <c r="Z44" i="27" s="1"/>
  <c r="L44" i="27"/>
  <c r="N44" i="27" s="1"/>
  <c r="B44" i="27"/>
  <c r="Z43" i="27"/>
  <c r="X43" i="27"/>
  <c r="N43" i="27"/>
  <c r="L43" i="27"/>
  <c r="B43" i="27"/>
  <c r="X42" i="27"/>
  <c r="Z42" i="27" s="1"/>
  <c r="N42" i="27"/>
  <c r="L42" i="27"/>
  <c r="B42" i="27"/>
  <c r="X41" i="27"/>
  <c r="Z41" i="27" s="1"/>
  <c r="N41" i="27"/>
  <c r="L41" i="27"/>
  <c r="B41" i="27"/>
  <c r="X40" i="27"/>
  <c r="Z40" i="27" s="1"/>
  <c r="L40" i="27"/>
  <c r="N40" i="27" s="1"/>
  <c r="B40" i="27"/>
  <c r="Z39" i="27"/>
  <c r="X39" i="27"/>
  <c r="N39" i="27"/>
  <c r="L39" i="27"/>
  <c r="B39" i="27"/>
  <c r="X38" i="27"/>
  <c r="Z38" i="27" s="1"/>
  <c r="L38" i="27"/>
  <c r="N38" i="27" s="1"/>
  <c r="B38" i="27"/>
  <c r="Z37" i="27"/>
  <c r="X37" i="27"/>
  <c r="N37" i="27"/>
  <c r="L37" i="27"/>
  <c r="B37" i="27"/>
  <c r="Z36" i="27"/>
  <c r="X36" i="27"/>
  <c r="N36" i="27"/>
  <c r="L36" i="27"/>
  <c r="B36" i="27"/>
  <c r="T35" i="27"/>
  <c r="P35" i="27"/>
  <c r="X35" i="27" s="1"/>
  <c r="Z35" i="27" s="1"/>
  <c r="H35" i="27"/>
  <c r="D35" i="27"/>
  <c r="L35" i="27" s="1"/>
  <c r="N35" i="27" s="1"/>
  <c r="T33" i="27"/>
  <c r="Z33" i="27" s="1"/>
  <c r="P33" i="27"/>
  <c r="X33" i="27" s="1"/>
  <c r="H33" i="27"/>
  <c r="D33" i="27"/>
  <c r="L33" i="27" s="1"/>
  <c r="N33" i="27" s="1"/>
  <c r="B33" i="27"/>
  <c r="X32" i="27"/>
  <c r="T32" i="27"/>
  <c r="Z32" i="27" s="1"/>
  <c r="P32" i="27"/>
  <c r="H32" i="27"/>
  <c r="N32" i="27" s="1"/>
  <c r="D32" i="27"/>
  <c r="L32" i="27" s="1"/>
  <c r="B32" i="27"/>
  <c r="T31" i="27"/>
  <c r="X31" i="27" s="1"/>
  <c r="Z31" i="27" s="1"/>
  <c r="P31" i="27"/>
  <c r="H31" i="27"/>
  <c r="N31" i="27" s="1"/>
  <c r="D31" i="27"/>
  <c r="L31" i="27" s="1"/>
  <c r="B31" i="27"/>
  <c r="Z30" i="27"/>
  <c r="X30" i="27"/>
  <c r="T30" i="27"/>
  <c r="P30" i="27"/>
  <c r="H30" i="27"/>
  <c r="N30" i="27" s="1"/>
  <c r="D30" i="27"/>
  <c r="L30" i="27" s="1"/>
  <c r="B30" i="27"/>
  <c r="T29" i="27"/>
  <c r="P29" i="27"/>
  <c r="X29" i="27" s="1"/>
  <c r="Z29" i="27" s="1"/>
  <c r="H29" i="27"/>
  <c r="N29" i="27" s="1"/>
  <c r="D29" i="27"/>
  <c r="L29" i="27" s="1"/>
  <c r="B29" i="27"/>
  <c r="T28" i="27"/>
  <c r="P28" i="27"/>
  <c r="X28" i="27" s="1"/>
  <c r="L28" i="27"/>
  <c r="H28" i="27"/>
  <c r="N28" i="27" s="1"/>
  <c r="D28" i="27"/>
  <c r="B28" i="27"/>
  <c r="T27" i="27"/>
  <c r="Z27" i="27" s="1"/>
  <c r="P27" i="27"/>
  <c r="X27" i="27" s="1"/>
  <c r="H27" i="27"/>
  <c r="L27" i="27" s="1"/>
  <c r="N27" i="27" s="1"/>
  <c r="D27" i="27"/>
  <c r="B27" i="27"/>
  <c r="T26" i="27"/>
  <c r="Z26" i="27" s="1"/>
  <c r="P26" i="27"/>
  <c r="X26" i="27" s="1"/>
  <c r="N26" i="27"/>
  <c r="L26" i="27"/>
  <c r="H26" i="27"/>
  <c r="D26" i="27"/>
  <c r="B26" i="27"/>
  <c r="T25" i="27"/>
  <c r="Z25" i="27" s="1"/>
  <c r="P25" i="27"/>
  <c r="X25" i="27" s="1"/>
  <c r="H25" i="27"/>
  <c r="D25" i="27"/>
  <c r="L25" i="27" s="1"/>
  <c r="N25" i="27" s="1"/>
  <c r="B25" i="27"/>
  <c r="X24" i="27"/>
  <c r="T24" i="27"/>
  <c r="Z24" i="27" s="1"/>
  <c r="P24" i="27"/>
  <c r="H24" i="27"/>
  <c r="N24" i="27" s="1"/>
  <c r="D24" i="27"/>
  <c r="L24" i="27" s="1"/>
  <c r="B24" i="27"/>
  <c r="T23" i="27"/>
  <c r="P23" i="27"/>
  <c r="X23" i="27" s="1"/>
  <c r="Z23" i="27" s="1"/>
  <c r="H23" i="27"/>
  <c r="D23" i="27"/>
  <c r="L23" i="27" s="1"/>
  <c r="B23" i="27"/>
  <c r="X22" i="27"/>
  <c r="T22" i="27"/>
  <c r="Z22" i="27" s="1"/>
  <c r="P22" i="27"/>
  <c r="H22" i="27"/>
  <c r="N22" i="27" s="1"/>
  <c r="D22" i="27"/>
  <c r="L22" i="27" s="1"/>
  <c r="B22" i="27"/>
  <c r="T21" i="27"/>
  <c r="P21" i="27"/>
  <c r="X21" i="27" s="1"/>
  <c r="Z21" i="27" s="1"/>
  <c r="H21" i="27"/>
  <c r="N21" i="27" s="1"/>
  <c r="D21" i="27"/>
  <c r="L21" i="27" s="1"/>
  <c r="B21" i="27"/>
  <c r="T20" i="27"/>
  <c r="Z20" i="27" s="1"/>
  <c r="P20" i="27"/>
  <c r="X20" i="27" s="1"/>
  <c r="L20" i="27"/>
  <c r="H20" i="27"/>
  <c r="N20" i="27" s="1"/>
  <c r="D20" i="27"/>
  <c r="B20" i="27"/>
  <c r="T19" i="27"/>
  <c r="P19" i="27"/>
  <c r="X19" i="27" s="1"/>
  <c r="H19" i="27"/>
  <c r="L19" i="27" s="1"/>
  <c r="N19" i="27" s="1"/>
  <c r="D19" i="27"/>
  <c r="B19" i="27"/>
  <c r="T18" i="27"/>
  <c r="P18" i="27"/>
  <c r="X18" i="27" s="1"/>
  <c r="L18" i="27"/>
  <c r="N18" i="27" s="1"/>
  <c r="H18" i="27"/>
  <c r="D18" i="27"/>
  <c r="B18" i="27"/>
  <c r="T17" i="27"/>
  <c r="Z17" i="27" s="1"/>
  <c r="P17" i="27"/>
  <c r="X17" i="27" s="1"/>
  <c r="H17" i="27"/>
  <c r="D17" i="27"/>
  <c r="L17" i="27" s="1"/>
  <c r="N17" i="27" s="1"/>
  <c r="B17" i="27"/>
  <c r="X16" i="27"/>
  <c r="T16" i="27"/>
  <c r="Z16" i="27" s="1"/>
  <c r="P16" i="27"/>
  <c r="H16" i="27"/>
  <c r="N16" i="27" s="1"/>
  <c r="D16" i="27"/>
  <c r="L16" i="27" s="1"/>
  <c r="B16" i="27"/>
  <c r="T15" i="27"/>
  <c r="X15" i="27" s="1"/>
  <c r="Z15" i="27" s="1"/>
  <c r="P15" i="27"/>
  <c r="H15" i="27"/>
  <c r="D15" i="27"/>
  <c r="L15" i="27" s="1"/>
  <c r="B15" i="27"/>
  <c r="X14" i="27"/>
  <c r="Z14" i="27" s="1"/>
  <c r="T14" i="27"/>
  <c r="P14" i="27"/>
  <c r="H14" i="27"/>
  <c r="D14" i="27"/>
  <c r="D12" i="27" s="1"/>
  <c r="B14" i="27"/>
  <c r="T13" i="27"/>
  <c r="P13" i="27"/>
  <c r="X13" i="27" s="1"/>
  <c r="Z13" i="27" s="1"/>
  <c r="H13" i="27"/>
  <c r="H12" i="27" s="1"/>
  <c r="D13" i="27"/>
  <c r="L13" i="27" s="1"/>
  <c r="B13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18" i="26" s="1"/>
  <c r="P12" i="26"/>
  <c r="R24" i="26" s="1"/>
  <c r="H12" i="26"/>
  <c r="J22" i="26" s="1"/>
  <c r="D12" i="26"/>
  <c r="F18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1" i="25" s="1"/>
  <c r="P12" i="25"/>
  <c r="R34" i="25" s="1"/>
  <c r="H12" i="25"/>
  <c r="J36" i="25" s="1"/>
  <c r="D12" i="25"/>
  <c r="F21" i="25" s="1"/>
  <c r="D5" i="25"/>
  <c r="D4" i="25"/>
  <c r="Z81" i="24"/>
  <c r="X81" i="24"/>
  <c r="L81" i="24"/>
  <c r="N81" i="24" s="1"/>
  <c r="Z77" i="24"/>
  <c r="X77" i="24"/>
  <c r="T77" i="24"/>
  <c r="P77" i="24"/>
  <c r="H77" i="24"/>
  <c r="N77" i="24" s="1"/>
  <c r="D77" i="24"/>
  <c r="L77" i="24" s="1"/>
  <c r="Z75" i="24"/>
  <c r="X75" i="24"/>
  <c r="L75" i="24"/>
  <c r="N75" i="24" s="1"/>
  <c r="B75" i="24"/>
  <c r="T74" i="24"/>
  <c r="P74" i="24"/>
  <c r="L74" i="24"/>
  <c r="H74" i="24"/>
  <c r="N74" i="24" s="1"/>
  <c r="D74" i="24"/>
  <c r="B74" i="24"/>
  <c r="X73" i="24"/>
  <c r="Z73" i="24" s="1"/>
  <c r="N73" i="24"/>
  <c r="L73" i="24"/>
  <c r="B73" i="24"/>
  <c r="X72" i="24"/>
  <c r="Z72" i="24" s="1"/>
  <c r="L72" i="24"/>
  <c r="N72" i="24" s="1"/>
  <c r="B72" i="24"/>
  <c r="Z71" i="24"/>
  <c r="X71" i="24"/>
  <c r="N71" i="24"/>
  <c r="L71" i="24"/>
  <c r="B71" i="24"/>
  <c r="T70" i="24"/>
  <c r="Z70" i="24" s="1"/>
  <c r="P70" i="24"/>
  <c r="X70" i="24" s="1"/>
  <c r="L70" i="24"/>
  <c r="N70" i="24" s="1"/>
  <c r="H70" i="24"/>
  <c r="D70" i="24"/>
  <c r="B70" i="24"/>
  <c r="X69" i="24"/>
  <c r="Z69" i="24" s="1"/>
  <c r="N69" i="24"/>
  <c r="L69" i="24"/>
  <c r="B69" i="24"/>
  <c r="X68" i="24"/>
  <c r="Z68" i="24" s="1"/>
  <c r="L68" i="24"/>
  <c r="N68" i="24" s="1"/>
  <c r="B68" i="24"/>
  <c r="T67" i="24"/>
  <c r="P67" i="24"/>
  <c r="X67" i="24" s="1"/>
  <c r="Z67" i="24" s="1"/>
  <c r="L67" i="24"/>
  <c r="N67" i="24" s="1"/>
  <c r="H67" i="24"/>
  <c r="D67" i="24"/>
  <c r="B67" i="24"/>
  <c r="Z66" i="24"/>
  <c r="X66" i="24"/>
  <c r="N66" i="24"/>
  <c r="L66" i="24"/>
  <c r="B66" i="24"/>
  <c r="X65" i="24"/>
  <c r="Z65" i="24" s="1"/>
  <c r="N65" i="24"/>
  <c r="L65" i="24"/>
  <c r="B65" i="24"/>
  <c r="X64" i="24"/>
  <c r="Z64" i="24" s="1"/>
  <c r="T64" i="24"/>
  <c r="P64" i="24"/>
  <c r="H64" i="24"/>
  <c r="L64" i="24" s="1"/>
  <c r="N64" i="24" s="1"/>
  <c r="D64" i="24"/>
  <c r="B64" i="24"/>
  <c r="Z63" i="24"/>
  <c r="X63" i="24"/>
  <c r="N63" i="24"/>
  <c r="L63" i="24"/>
  <c r="B63" i="24"/>
  <c r="T62" i="24"/>
  <c r="Z62" i="24" s="1"/>
  <c r="P62" i="24"/>
  <c r="H62" i="24"/>
  <c r="N62" i="24" s="1"/>
  <c r="D62" i="24"/>
  <c r="L62" i="24" s="1"/>
  <c r="B62" i="24"/>
  <c r="X61" i="24"/>
  <c r="Z61" i="24" s="1"/>
  <c r="N61" i="24"/>
  <c r="L61" i="24"/>
  <c r="B61" i="24"/>
  <c r="T60" i="24"/>
  <c r="Z60" i="24" s="1"/>
  <c r="P60" i="24"/>
  <c r="X60" i="24" s="1"/>
  <c r="H60" i="24"/>
  <c r="N60" i="24" s="1"/>
  <c r="D60" i="24"/>
  <c r="L60" i="24" s="1"/>
  <c r="B60" i="24"/>
  <c r="Z59" i="24"/>
  <c r="X59" i="24"/>
  <c r="N59" i="24"/>
  <c r="L59" i="24"/>
  <c r="B59" i="24"/>
  <c r="Z58" i="24"/>
  <c r="X58" i="24"/>
  <c r="N58" i="24"/>
  <c r="L58" i="24"/>
  <c r="B58" i="24"/>
  <c r="T57" i="24"/>
  <c r="Z57" i="24" s="1"/>
  <c r="P57" i="24"/>
  <c r="X57" i="24" s="1"/>
  <c r="N57" i="24"/>
  <c r="H57" i="24"/>
  <c r="D57" i="24"/>
  <c r="L57" i="24" s="1"/>
  <c r="B57" i="24"/>
  <c r="Z56" i="24"/>
  <c r="X56" i="24"/>
  <c r="N56" i="24"/>
  <c r="L56" i="24"/>
  <c r="B56" i="24"/>
  <c r="Z55" i="24"/>
  <c r="X55" i="24"/>
  <c r="N55" i="24"/>
  <c r="L55" i="24"/>
  <c r="B55" i="24"/>
  <c r="T54" i="24"/>
  <c r="Z54" i="24" s="1"/>
  <c r="P54" i="24"/>
  <c r="X54" i="24" s="1"/>
  <c r="N54" i="24"/>
  <c r="L54" i="24"/>
  <c r="H54" i="24"/>
  <c r="D54" i="24"/>
  <c r="B54" i="24"/>
  <c r="X53" i="24"/>
  <c r="Z53" i="24" s="1"/>
  <c r="N53" i="24"/>
  <c r="L53" i="24"/>
  <c r="B53" i="24"/>
  <c r="X52" i="24"/>
  <c r="Z52" i="24" s="1"/>
  <c r="T52" i="24"/>
  <c r="P52" i="24"/>
  <c r="H52" i="24"/>
  <c r="D52" i="24"/>
  <c r="B52" i="24"/>
  <c r="Z51" i="24"/>
  <c r="X51" i="24"/>
  <c r="N51" i="24"/>
  <c r="L51" i="24"/>
  <c r="B51" i="24"/>
  <c r="T50" i="24"/>
  <c r="Z50" i="24" s="1"/>
  <c r="P50" i="24"/>
  <c r="H50" i="24"/>
  <c r="N50" i="24" s="1"/>
  <c r="D50" i="24"/>
  <c r="L50" i="24" s="1"/>
  <c r="B50" i="24"/>
  <c r="Z49" i="24"/>
  <c r="X49" i="24"/>
  <c r="N49" i="24"/>
  <c r="L49" i="24"/>
  <c r="B49" i="24"/>
  <c r="X48" i="24"/>
  <c r="Z48" i="24" s="1"/>
  <c r="L48" i="24"/>
  <c r="N48" i="24" s="1"/>
  <c r="B48" i="24"/>
  <c r="X47" i="24"/>
  <c r="Z47" i="24" s="1"/>
  <c r="T47" i="24"/>
  <c r="P47" i="24"/>
  <c r="H47" i="24"/>
  <c r="D47" i="24"/>
  <c r="L47" i="24" s="1"/>
  <c r="B47" i="24"/>
  <c r="X46" i="24"/>
  <c r="Z46" i="24" s="1"/>
  <c r="N46" i="24"/>
  <c r="L46" i="24"/>
  <c r="B46" i="24"/>
  <c r="Z45" i="24"/>
  <c r="X45" i="24"/>
  <c r="N45" i="24"/>
  <c r="L45" i="24"/>
  <c r="B45" i="24"/>
  <c r="X44" i="24"/>
  <c r="Z44" i="24" s="1"/>
  <c r="L44" i="24"/>
  <c r="N44" i="24" s="1"/>
  <c r="B44" i="24"/>
  <c r="X43" i="24"/>
  <c r="Z43" i="24" s="1"/>
  <c r="N43" i="24"/>
  <c r="L43" i="24"/>
  <c r="B43" i="24"/>
  <c r="T42" i="24"/>
  <c r="Z42" i="24" s="1"/>
  <c r="P42" i="24"/>
  <c r="X42" i="24" s="1"/>
  <c r="H42" i="24"/>
  <c r="N42" i="24" s="1"/>
  <c r="D42" i="24"/>
  <c r="L42" i="24" s="1"/>
  <c r="B42" i="24"/>
  <c r="T41" i="24"/>
  <c r="P41" i="24"/>
  <c r="X41" i="24" s="1"/>
  <c r="H41" i="24"/>
  <c r="N41" i="24" s="1"/>
  <c r="D41" i="24"/>
  <c r="L41" i="24" s="1"/>
  <c r="X37" i="24"/>
  <c r="Z37" i="24" s="1"/>
  <c r="N37" i="24"/>
  <c r="L37" i="24"/>
  <c r="B37" i="24"/>
  <c r="Z36" i="24"/>
  <c r="X36" i="24"/>
  <c r="N36" i="24"/>
  <c r="L36" i="24"/>
  <c r="B36" i="24"/>
  <c r="X35" i="24"/>
  <c r="Z35" i="24" s="1"/>
  <c r="N35" i="24"/>
  <c r="L35" i="24"/>
  <c r="B35" i="24"/>
  <c r="Z34" i="24"/>
  <c r="X34" i="24"/>
  <c r="N34" i="24"/>
  <c r="L34" i="24"/>
  <c r="B34" i="24"/>
  <c r="Z33" i="24"/>
  <c r="X33" i="24"/>
  <c r="N33" i="24"/>
  <c r="L33" i="24"/>
  <c r="B33" i="24"/>
  <c r="Z32" i="24"/>
  <c r="X32" i="24"/>
  <c r="N32" i="24"/>
  <c r="L32" i="24"/>
  <c r="B32" i="24"/>
  <c r="Z31" i="24"/>
  <c r="X31" i="24"/>
  <c r="N31" i="24"/>
  <c r="L31" i="24"/>
  <c r="B31" i="24"/>
  <c r="Z30" i="24"/>
  <c r="X30" i="24"/>
  <c r="N30" i="24"/>
  <c r="L30" i="24"/>
  <c r="B30" i="24"/>
  <c r="Z29" i="24"/>
  <c r="X29" i="24"/>
  <c r="N29" i="24"/>
  <c r="L29" i="24"/>
  <c r="B29" i="24"/>
  <c r="Z28" i="24"/>
  <c r="X28" i="24"/>
  <c r="N28" i="24"/>
  <c r="L28" i="24"/>
  <c r="B28" i="24"/>
  <c r="X27" i="24"/>
  <c r="T27" i="24"/>
  <c r="Z27" i="24" s="1"/>
  <c r="P27" i="24"/>
  <c r="H27" i="24"/>
  <c r="N27" i="24" s="1"/>
  <c r="D27" i="24"/>
  <c r="L27" i="24" s="1"/>
  <c r="T25" i="24"/>
  <c r="P25" i="24"/>
  <c r="X25" i="24" s="1"/>
  <c r="Z25" i="24" s="1"/>
  <c r="L25" i="24"/>
  <c r="N25" i="24" s="1"/>
  <c r="H25" i="24"/>
  <c r="D25" i="24"/>
  <c r="B25" i="24"/>
  <c r="T24" i="24"/>
  <c r="P24" i="24"/>
  <c r="H24" i="24"/>
  <c r="D24" i="24"/>
  <c r="L24" i="24" s="1"/>
  <c r="N24" i="24" s="1"/>
  <c r="B24" i="24"/>
  <c r="Z23" i="24"/>
  <c r="T23" i="24"/>
  <c r="P23" i="24"/>
  <c r="X23" i="24" s="1"/>
  <c r="L23" i="24"/>
  <c r="H23" i="24"/>
  <c r="N23" i="24" s="1"/>
  <c r="D23" i="24"/>
  <c r="B23" i="24"/>
  <c r="T22" i="24"/>
  <c r="Z22" i="24" s="1"/>
  <c r="P22" i="24"/>
  <c r="N22" i="24"/>
  <c r="L22" i="24"/>
  <c r="H22" i="24"/>
  <c r="D22" i="24"/>
  <c r="B22" i="24"/>
  <c r="Z21" i="24"/>
  <c r="X21" i="24"/>
  <c r="T21" i="24"/>
  <c r="P21" i="24"/>
  <c r="N21" i="24"/>
  <c r="H21" i="24"/>
  <c r="D21" i="24"/>
  <c r="L21" i="24" s="1"/>
  <c r="B21" i="24"/>
  <c r="T20" i="24"/>
  <c r="P20" i="24"/>
  <c r="X20" i="24" s="1"/>
  <c r="Z20" i="24" s="1"/>
  <c r="H20" i="24"/>
  <c r="D20" i="24"/>
  <c r="B20" i="24"/>
  <c r="X19" i="24"/>
  <c r="T19" i="24"/>
  <c r="Z19" i="24" s="1"/>
  <c r="P19" i="24"/>
  <c r="N19" i="24"/>
  <c r="H19" i="24"/>
  <c r="D19" i="24"/>
  <c r="L19" i="24" s="1"/>
  <c r="B19" i="24"/>
  <c r="Z18" i="24"/>
  <c r="X18" i="24"/>
  <c r="T18" i="24"/>
  <c r="P18" i="24"/>
  <c r="H18" i="24"/>
  <c r="N18" i="24" s="1"/>
  <c r="D18" i="24"/>
  <c r="B18" i="24"/>
  <c r="T17" i="24"/>
  <c r="P17" i="24"/>
  <c r="X17" i="24" s="1"/>
  <c r="Z17" i="24" s="1"/>
  <c r="L17" i="24"/>
  <c r="N17" i="24" s="1"/>
  <c r="H17" i="24"/>
  <c r="D17" i="24"/>
  <c r="B17" i="24"/>
  <c r="T16" i="24"/>
  <c r="P16" i="24"/>
  <c r="H16" i="24"/>
  <c r="D16" i="24"/>
  <c r="L16" i="24" s="1"/>
  <c r="N16" i="24" s="1"/>
  <c r="B16" i="24"/>
  <c r="T15" i="24"/>
  <c r="P15" i="24"/>
  <c r="X15" i="24" s="1"/>
  <c r="Z15" i="24" s="1"/>
  <c r="L15" i="24"/>
  <c r="H15" i="24"/>
  <c r="N15" i="24" s="1"/>
  <c r="D15" i="24"/>
  <c r="B15" i="24"/>
  <c r="T14" i="24"/>
  <c r="Z14" i="24" s="1"/>
  <c r="P14" i="24"/>
  <c r="N14" i="24"/>
  <c r="L14" i="24"/>
  <c r="H14" i="24"/>
  <c r="D14" i="24"/>
  <c r="B14" i="24"/>
  <c r="X13" i="24"/>
  <c r="Z13" i="24" s="1"/>
  <c r="T13" i="24"/>
  <c r="P13" i="24"/>
  <c r="H13" i="24"/>
  <c r="D13" i="24"/>
  <c r="L13" i="24" s="1"/>
  <c r="N13" i="24" s="1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16" i="23" s="1"/>
  <c r="P12" i="23"/>
  <c r="R24" i="23" s="1"/>
  <c r="H12" i="23"/>
  <c r="J22" i="23" s="1"/>
  <c r="D12" i="23"/>
  <c r="F18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1" i="22" s="1"/>
  <c r="P12" i="22"/>
  <c r="R34" i="22" s="1"/>
  <c r="H12" i="22"/>
  <c r="J36" i="22" s="1"/>
  <c r="D12" i="22"/>
  <c r="F21" i="22" s="1"/>
  <c r="D5" i="22"/>
  <c r="D4" i="22"/>
  <c r="Z80" i="21"/>
  <c r="X80" i="21"/>
  <c r="L80" i="21"/>
  <c r="N80" i="21" s="1"/>
  <c r="X76" i="21"/>
  <c r="T76" i="21"/>
  <c r="Z76" i="21" s="1"/>
  <c r="P76" i="21"/>
  <c r="H76" i="21"/>
  <c r="N76" i="21" s="1"/>
  <c r="D76" i="21"/>
  <c r="L76" i="21" s="1"/>
  <c r="Z74" i="21"/>
  <c r="X74" i="21"/>
  <c r="L74" i="21"/>
  <c r="N74" i="21" s="1"/>
  <c r="B74" i="21"/>
  <c r="T73" i="21"/>
  <c r="P73" i="21"/>
  <c r="H73" i="21"/>
  <c r="N73" i="21" s="1"/>
  <c r="D73" i="21"/>
  <c r="L73" i="21" s="1"/>
  <c r="B73" i="21"/>
  <c r="X72" i="21"/>
  <c r="Z72" i="21" s="1"/>
  <c r="N72" i="21"/>
  <c r="L72" i="21"/>
  <c r="B72" i="21"/>
  <c r="T71" i="21"/>
  <c r="Z71" i="21" s="1"/>
  <c r="P71" i="21"/>
  <c r="X71" i="21" s="1"/>
  <c r="H71" i="21"/>
  <c r="D71" i="21"/>
  <c r="L71" i="21" s="1"/>
  <c r="N71" i="21" s="1"/>
  <c r="B71" i="21"/>
  <c r="X70" i="21"/>
  <c r="Z70" i="21" s="1"/>
  <c r="N70" i="21"/>
  <c r="L70" i="21"/>
  <c r="B70" i="21"/>
  <c r="Z69" i="21"/>
  <c r="X69" i="21"/>
  <c r="L69" i="21"/>
  <c r="N69" i="21" s="1"/>
  <c r="B69" i="21"/>
  <c r="Z68" i="21"/>
  <c r="X68" i="21"/>
  <c r="N68" i="21"/>
  <c r="L68" i="21"/>
  <c r="B68" i="21"/>
  <c r="X67" i="21"/>
  <c r="Z67" i="21" s="1"/>
  <c r="N67" i="21"/>
  <c r="L67" i="21"/>
  <c r="B67" i="21"/>
  <c r="T66" i="21"/>
  <c r="Z66" i="21" s="1"/>
  <c r="P66" i="21"/>
  <c r="X66" i="21" s="1"/>
  <c r="H66" i="21"/>
  <c r="D66" i="21"/>
  <c r="L66" i="21" s="1"/>
  <c r="N66" i="21" s="1"/>
  <c r="B66" i="21"/>
  <c r="Z65" i="21"/>
  <c r="X65" i="21"/>
  <c r="N65" i="21"/>
  <c r="L65" i="21"/>
  <c r="B65" i="21"/>
  <c r="X64" i="21"/>
  <c r="Z64" i="21" s="1"/>
  <c r="N64" i="21"/>
  <c r="L64" i="21"/>
  <c r="B64" i="21"/>
  <c r="X63" i="21"/>
  <c r="Z63" i="21" s="1"/>
  <c r="L63" i="21"/>
  <c r="N63" i="21" s="1"/>
  <c r="B63" i="21"/>
  <c r="T62" i="21"/>
  <c r="P62" i="21"/>
  <c r="X62" i="21" s="1"/>
  <c r="L62" i="21"/>
  <c r="N62" i="21" s="1"/>
  <c r="H62" i="21"/>
  <c r="D62" i="21"/>
  <c r="B62" i="21"/>
  <c r="Z61" i="21"/>
  <c r="X61" i="21"/>
  <c r="L61" i="21"/>
  <c r="N61" i="21" s="1"/>
  <c r="B61" i="21"/>
  <c r="X60" i="21"/>
  <c r="Z60" i="21" s="1"/>
  <c r="L60" i="21"/>
  <c r="N60" i="21" s="1"/>
  <c r="B60" i="21"/>
  <c r="T59" i="21"/>
  <c r="P59" i="21"/>
  <c r="X59" i="21" s="1"/>
  <c r="Z59" i="21" s="1"/>
  <c r="N59" i="21"/>
  <c r="L59" i="21"/>
  <c r="H59" i="21"/>
  <c r="D59" i="21"/>
  <c r="B59" i="21"/>
  <c r="X58" i="21"/>
  <c r="Z58" i="21" s="1"/>
  <c r="N58" i="21"/>
  <c r="L58" i="21"/>
  <c r="B58" i="21"/>
  <c r="Z57" i="21"/>
  <c r="X57" i="21"/>
  <c r="T57" i="21"/>
  <c r="P57" i="21"/>
  <c r="L57" i="21"/>
  <c r="H57" i="21"/>
  <c r="N57" i="21" s="1"/>
  <c r="D57" i="21"/>
  <c r="B57" i="21"/>
  <c r="X56" i="21"/>
  <c r="Z56" i="21" s="1"/>
  <c r="N56" i="21"/>
  <c r="L56" i="21"/>
  <c r="B56" i="21"/>
  <c r="X55" i="21"/>
  <c r="T55" i="21"/>
  <c r="Z55" i="21" s="1"/>
  <c r="P55" i="21"/>
  <c r="H55" i="21"/>
  <c r="N55" i="21" s="1"/>
  <c r="D55" i="21"/>
  <c r="L55" i="21" s="1"/>
  <c r="B55" i="21"/>
  <c r="Z54" i="21"/>
  <c r="X54" i="21"/>
  <c r="N54" i="21"/>
  <c r="L54" i="21"/>
  <c r="B54" i="21"/>
  <c r="T53" i="21"/>
  <c r="Z53" i="21" s="1"/>
  <c r="P53" i="21"/>
  <c r="X53" i="21" s="1"/>
  <c r="H53" i="21"/>
  <c r="N53" i="21" s="1"/>
  <c r="D53" i="21"/>
  <c r="L53" i="21" s="1"/>
  <c r="B53" i="21"/>
  <c r="Z52" i="21"/>
  <c r="X52" i="21"/>
  <c r="N52" i="21"/>
  <c r="L52" i="21"/>
  <c r="B52" i="21"/>
  <c r="T51" i="21"/>
  <c r="Z51" i="21" s="1"/>
  <c r="P51" i="21"/>
  <c r="X51" i="21" s="1"/>
  <c r="H51" i="21"/>
  <c r="D51" i="21"/>
  <c r="L51" i="21" s="1"/>
  <c r="N51" i="21" s="1"/>
  <c r="B51" i="21"/>
  <c r="X50" i="21"/>
  <c r="Z50" i="21" s="1"/>
  <c r="N50" i="21"/>
  <c r="L50" i="21"/>
  <c r="B50" i="21"/>
  <c r="Z49" i="21"/>
  <c r="X49" i="21"/>
  <c r="L49" i="21"/>
  <c r="N49" i="21" s="1"/>
  <c r="B49" i="21"/>
  <c r="T48" i="21"/>
  <c r="P48" i="21"/>
  <c r="X48" i="21" s="1"/>
  <c r="Z48" i="21" s="1"/>
  <c r="L48" i="21"/>
  <c r="N48" i="21" s="1"/>
  <c r="H48" i="21"/>
  <c r="D48" i="21"/>
  <c r="B48" i="21"/>
  <c r="X47" i="21"/>
  <c r="Z47" i="21" s="1"/>
  <c r="N47" i="21"/>
  <c r="L47" i="21"/>
  <c r="B47" i="21"/>
  <c r="X46" i="21"/>
  <c r="Z46" i="21" s="1"/>
  <c r="T46" i="21"/>
  <c r="P46" i="21"/>
  <c r="H46" i="21"/>
  <c r="D46" i="21"/>
  <c r="B46" i="21"/>
  <c r="X45" i="21"/>
  <c r="Z45" i="21" s="1"/>
  <c r="N45" i="21"/>
  <c r="L45" i="21"/>
  <c r="B45" i="21"/>
  <c r="T44" i="21"/>
  <c r="P44" i="21"/>
  <c r="H44" i="21"/>
  <c r="D44" i="21"/>
  <c r="L44" i="21" s="1"/>
  <c r="B44" i="21"/>
  <c r="Z43" i="21"/>
  <c r="X43" i="21"/>
  <c r="N43" i="21"/>
  <c r="L43" i="21"/>
  <c r="B43" i="21"/>
  <c r="T42" i="21"/>
  <c r="Z42" i="21" s="1"/>
  <c r="P42" i="21"/>
  <c r="X42" i="21" s="1"/>
  <c r="N42" i="21"/>
  <c r="H42" i="21"/>
  <c r="D42" i="21"/>
  <c r="L42" i="21" s="1"/>
  <c r="B42" i="21"/>
  <c r="Z41" i="21"/>
  <c r="X41" i="21"/>
  <c r="L41" i="21"/>
  <c r="N41" i="21" s="1"/>
  <c r="B41" i="21"/>
  <c r="Z40" i="21"/>
  <c r="X40" i="21"/>
  <c r="N40" i="21"/>
  <c r="L40" i="21"/>
  <c r="B40" i="21"/>
  <c r="Z39" i="21"/>
  <c r="X39" i="21"/>
  <c r="N39" i="21"/>
  <c r="L39" i="21"/>
  <c r="B39" i="21"/>
  <c r="T38" i="21"/>
  <c r="P38" i="21"/>
  <c r="X38" i="21" s="1"/>
  <c r="H38" i="21"/>
  <c r="D38" i="21"/>
  <c r="L38" i="21" s="1"/>
  <c r="N38" i="21" s="1"/>
  <c r="B38" i="21"/>
  <c r="Z37" i="21"/>
  <c r="X37" i="21"/>
  <c r="L37" i="21"/>
  <c r="N37" i="21" s="1"/>
  <c r="B37" i="21"/>
  <c r="X36" i="21"/>
  <c r="Z36" i="21" s="1"/>
  <c r="L36" i="21"/>
  <c r="N36" i="21" s="1"/>
  <c r="B36" i="21"/>
  <c r="Z35" i="21"/>
  <c r="X35" i="21"/>
  <c r="N35" i="21"/>
  <c r="L35" i="21"/>
  <c r="B35" i="21"/>
  <c r="X34" i="21"/>
  <c r="Z34" i="21" s="1"/>
  <c r="L34" i="21"/>
  <c r="N34" i="21" s="1"/>
  <c r="B34" i="21"/>
  <c r="X33" i="21"/>
  <c r="Z33" i="21" s="1"/>
  <c r="N33" i="21"/>
  <c r="L33" i="21"/>
  <c r="B33" i="21"/>
  <c r="X32" i="21"/>
  <c r="Z32" i="21" s="1"/>
  <c r="L32" i="21"/>
  <c r="N32" i="21" s="1"/>
  <c r="B32" i="21"/>
  <c r="Z31" i="21"/>
  <c r="X31" i="21"/>
  <c r="N31" i="21"/>
  <c r="L31" i="21"/>
  <c r="B31" i="21"/>
  <c r="X30" i="21"/>
  <c r="Z30" i="21" s="1"/>
  <c r="L30" i="21"/>
  <c r="N30" i="21" s="1"/>
  <c r="B30" i="21"/>
  <c r="T29" i="21"/>
  <c r="P29" i="21"/>
  <c r="X29" i="21" s="1"/>
  <c r="Z29" i="21" s="1"/>
  <c r="N29" i="21"/>
  <c r="L29" i="21"/>
  <c r="H29" i="21"/>
  <c r="D29" i="21"/>
  <c r="B29" i="21"/>
  <c r="T28" i="21"/>
  <c r="Z28" i="21" s="1"/>
  <c r="P28" i="21"/>
  <c r="X28" i="21" s="1"/>
  <c r="H28" i="21"/>
  <c r="D28" i="21"/>
  <c r="L28" i="21" s="1"/>
  <c r="X24" i="21"/>
  <c r="Z24" i="21" s="1"/>
  <c r="L24" i="21"/>
  <c r="N24" i="21" s="1"/>
  <c r="B24" i="21"/>
  <c r="Z23" i="21"/>
  <c r="X23" i="21"/>
  <c r="N23" i="21"/>
  <c r="L23" i="21"/>
  <c r="B23" i="21"/>
  <c r="X22" i="21"/>
  <c r="T22" i="21"/>
  <c r="P22" i="21"/>
  <c r="H22" i="21"/>
  <c r="D22" i="21"/>
  <c r="T20" i="21"/>
  <c r="Z20" i="21" s="1"/>
  <c r="P20" i="21"/>
  <c r="X20" i="21" s="1"/>
  <c r="L20" i="21"/>
  <c r="N20" i="21" s="1"/>
  <c r="H20" i="21"/>
  <c r="D20" i="21"/>
  <c r="B20" i="21"/>
  <c r="T19" i="21"/>
  <c r="Z19" i="21" s="1"/>
  <c r="P19" i="21"/>
  <c r="N19" i="21"/>
  <c r="H19" i="21"/>
  <c r="D19" i="21"/>
  <c r="L19" i="21" s="1"/>
  <c r="B19" i="21"/>
  <c r="Z18" i="21"/>
  <c r="T18" i="21"/>
  <c r="P18" i="21"/>
  <c r="X18" i="21" s="1"/>
  <c r="L18" i="21"/>
  <c r="H18" i="21"/>
  <c r="N18" i="21" s="1"/>
  <c r="D18" i="21"/>
  <c r="B18" i="21"/>
  <c r="Z17" i="21"/>
  <c r="T17" i="21"/>
  <c r="X17" i="21" s="1"/>
  <c r="P17" i="21"/>
  <c r="H17" i="21"/>
  <c r="D17" i="21"/>
  <c r="L17" i="21" s="1"/>
  <c r="N17" i="21" s="1"/>
  <c r="B17" i="21"/>
  <c r="Z16" i="21"/>
  <c r="X16" i="21"/>
  <c r="T16" i="21"/>
  <c r="P16" i="21"/>
  <c r="H16" i="21"/>
  <c r="N16" i="21" s="1"/>
  <c r="D16" i="21"/>
  <c r="L16" i="21" s="1"/>
  <c r="B16" i="21"/>
  <c r="Z15" i="21"/>
  <c r="T15" i="21"/>
  <c r="P15" i="21"/>
  <c r="H15" i="21"/>
  <c r="D15" i="21"/>
  <c r="B15" i="21"/>
  <c r="X14" i="21"/>
  <c r="T14" i="21"/>
  <c r="Z14" i="21" s="1"/>
  <c r="P14" i="21"/>
  <c r="H14" i="21"/>
  <c r="D14" i="21"/>
  <c r="B14" i="21"/>
  <c r="Z13" i="21"/>
  <c r="T13" i="21"/>
  <c r="P13" i="21"/>
  <c r="X13" i="21" s="1"/>
  <c r="N13" i="21"/>
  <c r="H13" i="21"/>
  <c r="D13" i="21"/>
  <c r="B13" i="21"/>
  <c r="P12" i="21"/>
  <c r="R24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34" i="20" s="1"/>
  <c r="P12" i="20"/>
  <c r="R34" i="20" s="1"/>
  <c r="H12" i="20"/>
  <c r="J36" i="20" s="1"/>
  <c r="D12" i="20"/>
  <c r="F33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D15" i="19"/>
  <c r="T13" i="19"/>
  <c r="Z13" i="19" s="1"/>
  <c r="P13" i="19"/>
  <c r="H13" i="19"/>
  <c r="N13" i="19" s="1"/>
  <c r="D13" i="19"/>
  <c r="B13" i="19"/>
  <c r="T12" i="19"/>
  <c r="P12" i="19"/>
  <c r="R34" i="19" s="1"/>
  <c r="H12" i="19"/>
  <c r="J22" i="19" s="1"/>
  <c r="D12" i="19"/>
  <c r="F18" i="19" s="1"/>
  <c r="D5" i="19"/>
  <c r="D4" i="19"/>
  <c r="Z225" i="18"/>
  <c r="X225" i="18"/>
  <c r="L225" i="18"/>
  <c r="N225" i="18" s="1"/>
  <c r="T221" i="18"/>
  <c r="P221" i="18"/>
  <c r="X221" i="18" s="1"/>
  <c r="Z221" i="18" s="1"/>
  <c r="H221" i="18"/>
  <c r="N221" i="18" s="1"/>
  <c r="D221" i="18"/>
  <c r="B221" i="18"/>
  <c r="T220" i="18"/>
  <c r="P220" i="18"/>
  <c r="X220" i="18" s="1"/>
  <c r="Z220" i="18" s="1"/>
  <c r="L220" i="18"/>
  <c r="H220" i="18"/>
  <c r="N220" i="18" s="1"/>
  <c r="D220" i="18"/>
  <c r="B220" i="18"/>
  <c r="T219" i="18"/>
  <c r="Z219" i="18" s="1"/>
  <c r="P219" i="18"/>
  <c r="X219" i="18" s="1"/>
  <c r="N219" i="18"/>
  <c r="H219" i="18"/>
  <c r="D219" i="18"/>
  <c r="L219" i="18" s="1"/>
  <c r="B219" i="18"/>
  <c r="T218" i="18"/>
  <c r="P218" i="18"/>
  <c r="X218" i="18" s="1"/>
  <c r="Z218" i="18" s="1"/>
  <c r="H218" i="18"/>
  <c r="L218" i="18" s="1"/>
  <c r="N218" i="18" s="1"/>
  <c r="D218" i="18"/>
  <c r="B218" i="18"/>
  <c r="Z217" i="18"/>
  <c r="X217" i="18"/>
  <c r="T217" i="18"/>
  <c r="P217" i="18"/>
  <c r="P215" i="18" s="1"/>
  <c r="H217" i="18"/>
  <c r="H215" i="18" s="1"/>
  <c r="D217" i="18"/>
  <c r="B217" i="18"/>
  <c r="T216" i="18"/>
  <c r="P216" i="18"/>
  <c r="X216" i="18" s="1"/>
  <c r="N216" i="18"/>
  <c r="H216" i="18"/>
  <c r="D216" i="18"/>
  <c r="B216" i="18"/>
  <c r="X213" i="18"/>
  <c r="Z213" i="18" s="1"/>
  <c r="L213" i="18"/>
  <c r="N213" i="18" s="1"/>
  <c r="B213" i="18"/>
  <c r="X212" i="18"/>
  <c r="Z212" i="18" s="1"/>
  <c r="T212" i="18"/>
  <c r="P212" i="18"/>
  <c r="H212" i="18"/>
  <c r="D212" i="18"/>
  <c r="B212" i="18"/>
  <c r="X211" i="18"/>
  <c r="Z211" i="18" s="1"/>
  <c r="N211" i="18"/>
  <c r="L211" i="18"/>
  <c r="B211" i="18"/>
  <c r="Z210" i="18"/>
  <c r="X210" i="18"/>
  <c r="N210" i="18"/>
  <c r="L210" i="18"/>
  <c r="B210" i="18"/>
  <c r="X209" i="18"/>
  <c r="Z209" i="18" s="1"/>
  <c r="N209" i="18"/>
  <c r="L209" i="18"/>
  <c r="B209" i="18"/>
  <c r="X208" i="18"/>
  <c r="Z208" i="18" s="1"/>
  <c r="T208" i="18"/>
  <c r="P208" i="18"/>
  <c r="H208" i="18"/>
  <c r="D208" i="18"/>
  <c r="B208" i="18"/>
  <c r="X207" i="18"/>
  <c r="Z207" i="18" s="1"/>
  <c r="N207" i="18"/>
  <c r="L207" i="18"/>
  <c r="B207" i="18"/>
  <c r="T206" i="18"/>
  <c r="P206" i="18"/>
  <c r="X206" i="18" s="1"/>
  <c r="N206" i="18"/>
  <c r="H206" i="18"/>
  <c r="D206" i="18"/>
  <c r="L206" i="18" s="1"/>
  <c r="B206" i="18"/>
  <c r="X205" i="18"/>
  <c r="Z205" i="18" s="1"/>
  <c r="L205" i="18"/>
  <c r="N205" i="18" s="1"/>
  <c r="B205" i="18"/>
  <c r="X204" i="18"/>
  <c r="Z204" i="18" s="1"/>
  <c r="N204" i="18"/>
  <c r="L204" i="18"/>
  <c r="B204" i="18"/>
  <c r="T203" i="18"/>
  <c r="P203" i="18"/>
  <c r="X203" i="18" s="1"/>
  <c r="Z203" i="18" s="1"/>
  <c r="H203" i="18"/>
  <c r="D203" i="18"/>
  <c r="B203" i="18"/>
  <c r="Z202" i="18"/>
  <c r="X202" i="18"/>
  <c r="N202" i="18"/>
  <c r="L202" i="18"/>
  <c r="B202" i="18"/>
  <c r="X201" i="18"/>
  <c r="Z201" i="18" s="1"/>
  <c r="L201" i="18"/>
  <c r="N201" i="18" s="1"/>
  <c r="B201" i="18"/>
  <c r="Z200" i="18"/>
  <c r="X200" i="18"/>
  <c r="L200" i="18"/>
  <c r="N200" i="18" s="1"/>
  <c r="B200" i="18"/>
  <c r="X199" i="18"/>
  <c r="Z199" i="18" s="1"/>
  <c r="N199" i="18"/>
  <c r="L199" i="18"/>
  <c r="B199" i="18"/>
  <c r="Z198" i="18"/>
  <c r="X198" i="18"/>
  <c r="N198" i="18"/>
  <c r="L198" i="18"/>
  <c r="B198" i="18"/>
  <c r="X197" i="18"/>
  <c r="Z197" i="18" s="1"/>
  <c r="L197" i="18"/>
  <c r="N197" i="18" s="1"/>
  <c r="B197" i="18"/>
  <c r="X196" i="18"/>
  <c r="T196" i="18"/>
  <c r="Z196" i="18" s="1"/>
  <c r="P196" i="18"/>
  <c r="H196" i="18"/>
  <c r="D196" i="18"/>
  <c r="L196" i="18" s="1"/>
  <c r="B196" i="18"/>
  <c r="X195" i="18"/>
  <c r="Z195" i="18" s="1"/>
  <c r="N195" i="18"/>
  <c r="L195" i="18"/>
  <c r="B195" i="18"/>
  <c r="Z194" i="18"/>
  <c r="X194" i="18"/>
  <c r="N194" i="18"/>
  <c r="L194" i="18"/>
  <c r="B194" i="18"/>
  <c r="T193" i="18"/>
  <c r="Z193" i="18" s="1"/>
  <c r="P193" i="18"/>
  <c r="X193" i="18" s="1"/>
  <c r="H193" i="18"/>
  <c r="D193" i="18"/>
  <c r="L193" i="18" s="1"/>
  <c r="N193" i="18" s="1"/>
  <c r="B193" i="18"/>
  <c r="Z192" i="18"/>
  <c r="X192" i="18"/>
  <c r="L192" i="18"/>
  <c r="N192" i="18" s="1"/>
  <c r="B192" i="18"/>
  <c r="X191" i="18"/>
  <c r="Z191" i="18" s="1"/>
  <c r="N191" i="18"/>
  <c r="L191" i="18"/>
  <c r="B191" i="18"/>
  <c r="Z190" i="18"/>
  <c r="X190" i="18"/>
  <c r="N190" i="18"/>
  <c r="L190" i="18"/>
  <c r="B190" i="18"/>
  <c r="X189" i="18"/>
  <c r="Z189" i="18" s="1"/>
  <c r="L189" i="18"/>
  <c r="N189" i="18" s="1"/>
  <c r="B189" i="18"/>
  <c r="X188" i="18"/>
  <c r="T188" i="18"/>
  <c r="P188" i="18"/>
  <c r="H188" i="18"/>
  <c r="D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X185" i="18"/>
  <c r="Z185" i="18" s="1"/>
  <c r="L185" i="18"/>
  <c r="N185" i="18" s="1"/>
  <c r="B185" i="18"/>
  <c r="X184" i="18"/>
  <c r="T184" i="18"/>
  <c r="Z184" i="18" s="1"/>
  <c r="P184" i="18"/>
  <c r="H184" i="18"/>
  <c r="D184" i="18"/>
  <c r="L184" i="18" s="1"/>
  <c r="B184" i="18"/>
  <c r="X183" i="18"/>
  <c r="Z183" i="18" s="1"/>
  <c r="N183" i="18"/>
  <c r="L183" i="18"/>
  <c r="B183" i="18"/>
  <c r="Z182" i="18"/>
  <c r="X182" i="18"/>
  <c r="N182" i="18"/>
  <c r="L182" i="18"/>
  <c r="B182" i="18"/>
  <c r="Z181" i="18"/>
  <c r="X181" i="18"/>
  <c r="L181" i="18"/>
  <c r="N181" i="18" s="1"/>
  <c r="B181" i="18"/>
  <c r="X180" i="18"/>
  <c r="Z180" i="18" s="1"/>
  <c r="N180" i="18"/>
  <c r="L180" i="18"/>
  <c r="B180" i="18"/>
  <c r="Z179" i="18"/>
  <c r="X179" i="18"/>
  <c r="T179" i="18"/>
  <c r="P179" i="18"/>
  <c r="H179" i="18"/>
  <c r="D179" i="18"/>
  <c r="L179" i="18" s="1"/>
  <c r="B179" i="18"/>
  <c r="Z178" i="18"/>
  <c r="X178" i="18"/>
  <c r="N178" i="18"/>
  <c r="L178" i="18"/>
  <c r="B178" i="18"/>
  <c r="T177" i="18"/>
  <c r="P177" i="18"/>
  <c r="X177" i="18" s="1"/>
  <c r="H177" i="18"/>
  <c r="D177" i="18"/>
  <c r="L177" i="18" s="1"/>
  <c r="N177" i="18" s="1"/>
  <c r="B177" i="18"/>
  <c r="Z176" i="18"/>
  <c r="X176" i="18"/>
  <c r="N176" i="18"/>
  <c r="L176" i="18"/>
  <c r="B176" i="18"/>
  <c r="X175" i="18"/>
  <c r="Z175" i="18" s="1"/>
  <c r="N175" i="18"/>
  <c r="L175" i="18"/>
  <c r="B175" i="18"/>
  <c r="T174" i="18"/>
  <c r="P174" i="18"/>
  <c r="H174" i="18"/>
  <c r="D174" i="18"/>
  <c r="L174" i="18" s="1"/>
  <c r="N174" i="18" s="1"/>
  <c r="B174" i="18"/>
  <c r="X173" i="18"/>
  <c r="Z173" i="18" s="1"/>
  <c r="L173" i="18"/>
  <c r="N173" i="18" s="1"/>
  <c r="B173" i="18"/>
  <c r="T172" i="18"/>
  <c r="P172" i="18"/>
  <c r="X172" i="18" s="1"/>
  <c r="Z172" i="18" s="1"/>
  <c r="H172" i="18"/>
  <c r="L172" i="18" s="1"/>
  <c r="N172" i="18" s="1"/>
  <c r="D172" i="18"/>
  <c r="B172" i="18"/>
  <c r="Z171" i="18"/>
  <c r="X171" i="18"/>
  <c r="N171" i="18"/>
  <c r="L171" i="18"/>
  <c r="B171" i="18"/>
  <c r="T170" i="18"/>
  <c r="X170" i="18" s="1"/>
  <c r="Z170" i="18" s="1"/>
  <c r="P170" i="18"/>
  <c r="L170" i="18"/>
  <c r="H170" i="18"/>
  <c r="D170" i="18"/>
  <c r="B170" i="18"/>
  <c r="X169" i="18"/>
  <c r="Z169" i="18" s="1"/>
  <c r="L169" i="18"/>
  <c r="N169" i="18" s="1"/>
  <c r="B169" i="18"/>
  <c r="X168" i="18"/>
  <c r="Z168" i="18" s="1"/>
  <c r="L168" i="18"/>
  <c r="N168" i="18" s="1"/>
  <c r="B168" i="18"/>
  <c r="Z167" i="18"/>
  <c r="X167" i="18"/>
  <c r="T167" i="18"/>
  <c r="P167" i="18"/>
  <c r="H167" i="18"/>
  <c r="N167" i="18" s="1"/>
  <c r="D167" i="18"/>
  <c r="L167" i="18" s="1"/>
  <c r="B167" i="18"/>
  <c r="Z166" i="18"/>
  <c r="X166" i="18"/>
  <c r="N166" i="18"/>
  <c r="L166" i="18"/>
  <c r="B166" i="18"/>
  <c r="T165" i="18"/>
  <c r="P165" i="18"/>
  <c r="X165" i="18" s="1"/>
  <c r="H165" i="18"/>
  <c r="D165" i="18"/>
  <c r="L165" i="18" s="1"/>
  <c r="N165" i="18" s="1"/>
  <c r="B165" i="18"/>
  <c r="X164" i="18"/>
  <c r="Z164" i="18" s="1"/>
  <c r="N164" i="18"/>
  <c r="L164" i="18"/>
  <c r="B164" i="18"/>
  <c r="T163" i="18"/>
  <c r="P163" i="18"/>
  <c r="X163" i="18" s="1"/>
  <c r="Z163" i="18" s="1"/>
  <c r="H163" i="18"/>
  <c r="N163" i="18" s="1"/>
  <c r="D163" i="18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T160" i="18"/>
  <c r="P160" i="18"/>
  <c r="X160" i="18" s="1"/>
  <c r="N160" i="18"/>
  <c r="H160" i="18"/>
  <c r="L160" i="18" s="1"/>
  <c r="D160" i="18"/>
  <c r="B160" i="18"/>
  <c r="Z159" i="18"/>
  <c r="X159" i="18"/>
  <c r="L159" i="18"/>
  <c r="N159" i="18" s="1"/>
  <c r="B159" i="18"/>
  <c r="Z158" i="18"/>
  <c r="X158" i="18"/>
  <c r="N158" i="18"/>
  <c r="L158" i="18"/>
  <c r="B158" i="18"/>
  <c r="T157" i="18"/>
  <c r="P157" i="18"/>
  <c r="N157" i="18"/>
  <c r="L157" i="18"/>
  <c r="H157" i="18"/>
  <c r="D157" i="18"/>
  <c r="B157" i="18"/>
  <c r="X156" i="18"/>
  <c r="Z156" i="18" s="1"/>
  <c r="N156" i="18"/>
  <c r="L156" i="18"/>
  <c r="B156" i="18"/>
  <c r="Z155" i="18"/>
  <c r="X155" i="18"/>
  <c r="T155" i="18"/>
  <c r="P155" i="18"/>
  <c r="H155" i="18"/>
  <c r="D155" i="18"/>
  <c r="L155" i="18" s="1"/>
  <c r="B155" i="18"/>
  <c r="Z154" i="18"/>
  <c r="X154" i="18"/>
  <c r="N154" i="18"/>
  <c r="L154" i="18"/>
  <c r="B154" i="18"/>
  <c r="T153" i="18"/>
  <c r="Z153" i="18" s="1"/>
  <c r="P153" i="18"/>
  <c r="X153" i="18" s="1"/>
  <c r="H153" i="18"/>
  <c r="D153" i="18"/>
  <c r="L153" i="18" s="1"/>
  <c r="N153" i="18" s="1"/>
  <c r="B153" i="18"/>
  <c r="Z152" i="18"/>
  <c r="X152" i="18"/>
  <c r="L152" i="18"/>
  <c r="N152" i="18" s="1"/>
  <c r="B152" i="18"/>
  <c r="T151" i="18"/>
  <c r="Z151" i="18" s="1"/>
  <c r="P151" i="18"/>
  <c r="X151" i="18" s="1"/>
  <c r="L151" i="18"/>
  <c r="H151" i="18"/>
  <c r="N151" i="18" s="1"/>
  <c r="D151" i="18"/>
  <c r="B151" i="18"/>
  <c r="Z150" i="18"/>
  <c r="X150" i="18"/>
  <c r="N150" i="18"/>
  <c r="L150" i="18"/>
  <c r="B150" i="18"/>
  <c r="X149" i="18"/>
  <c r="Z149" i="18" s="1"/>
  <c r="L149" i="18"/>
  <c r="N149" i="18" s="1"/>
  <c r="B149" i="18"/>
  <c r="Z148" i="18"/>
  <c r="X148" i="18"/>
  <c r="L148" i="18"/>
  <c r="N148" i="18" s="1"/>
  <c r="B148" i="18"/>
  <c r="X147" i="18"/>
  <c r="Z147" i="18" s="1"/>
  <c r="N147" i="18"/>
  <c r="L147" i="18"/>
  <c r="B147" i="18"/>
  <c r="Z146" i="18"/>
  <c r="X146" i="18"/>
  <c r="N146" i="18"/>
  <c r="L146" i="18"/>
  <c r="B146" i="18"/>
  <c r="X145" i="18"/>
  <c r="Z145" i="18" s="1"/>
  <c r="L145" i="18"/>
  <c r="N145" i="18" s="1"/>
  <c r="B145" i="18"/>
  <c r="X144" i="18"/>
  <c r="Z144" i="18" s="1"/>
  <c r="N144" i="18"/>
  <c r="L144" i="18"/>
  <c r="B144" i="18"/>
  <c r="Z143" i="18"/>
  <c r="X143" i="18"/>
  <c r="T143" i="18"/>
  <c r="P143" i="18"/>
  <c r="H143" i="18"/>
  <c r="D143" i="18"/>
  <c r="L143" i="18" s="1"/>
  <c r="B143" i="18"/>
  <c r="Z142" i="18"/>
  <c r="X142" i="18"/>
  <c r="N142" i="18"/>
  <c r="L142" i="18"/>
  <c r="B142" i="18"/>
  <c r="X141" i="18"/>
  <c r="Z141" i="18" s="1"/>
  <c r="L141" i="18"/>
  <c r="N141" i="18" s="1"/>
  <c r="B141" i="18"/>
  <c r="X140" i="18"/>
  <c r="Z140" i="18" s="1"/>
  <c r="N140" i="18"/>
  <c r="L140" i="18"/>
  <c r="B140" i="18"/>
  <c r="Z139" i="18"/>
  <c r="X139" i="18"/>
  <c r="L139" i="18"/>
  <c r="N139" i="18" s="1"/>
  <c r="B139" i="18"/>
  <c r="Z138" i="18"/>
  <c r="X138" i="18"/>
  <c r="N138" i="18"/>
  <c r="L138" i="18"/>
  <c r="B138" i="18"/>
  <c r="X137" i="18"/>
  <c r="Z137" i="18" s="1"/>
  <c r="L137" i="18"/>
  <c r="N137" i="18" s="1"/>
  <c r="B137" i="18"/>
  <c r="Z136" i="18"/>
  <c r="X136" i="18"/>
  <c r="L136" i="18"/>
  <c r="N136" i="18" s="1"/>
  <c r="B136" i="18"/>
  <c r="X135" i="18"/>
  <c r="Z135" i="18" s="1"/>
  <c r="N135" i="18"/>
  <c r="L135" i="18"/>
  <c r="B135" i="18"/>
  <c r="Z134" i="18"/>
  <c r="X134" i="18"/>
  <c r="N134" i="18"/>
  <c r="L134" i="18"/>
  <c r="B134" i="18"/>
  <c r="X133" i="18"/>
  <c r="Z133" i="18" s="1"/>
  <c r="L133" i="18"/>
  <c r="N133" i="18" s="1"/>
  <c r="B133" i="18"/>
  <c r="X132" i="18"/>
  <c r="Z132" i="18" s="1"/>
  <c r="T132" i="18"/>
  <c r="P132" i="18"/>
  <c r="H132" i="18"/>
  <c r="D132" i="18"/>
  <c r="B132" i="18"/>
  <c r="T131" i="18"/>
  <c r="P131" i="18"/>
  <c r="X131" i="18" s="1"/>
  <c r="H131" i="18"/>
  <c r="N131" i="18" s="1"/>
  <c r="D131" i="18"/>
  <c r="L131" i="18" s="1"/>
  <c r="Z127" i="18"/>
  <c r="X127" i="18"/>
  <c r="N127" i="18"/>
  <c r="L127" i="18"/>
  <c r="B127" i="18"/>
  <c r="Z126" i="18"/>
  <c r="X126" i="18"/>
  <c r="N126" i="18"/>
  <c r="L126" i="18"/>
  <c r="B126" i="18"/>
  <c r="X125" i="18"/>
  <c r="Z125" i="18" s="1"/>
  <c r="N125" i="18"/>
  <c r="L125" i="18"/>
  <c r="B125" i="18"/>
  <c r="X124" i="18"/>
  <c r="Z124" i="18" s="1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X121" i="18"/>
  <c r="Z121" i="18" s="1"/>
  <c r="L121" i="18"/>
  <c r="N121" i="18" s="1"/>
  <c r="B121" i="18"/>
  <c r="Z120" i="18"/>
  <c r="X120" i="18"/>
  <c r="L120" i="18"/>
  <c r="N120" i="18" s="1"/>
  <c r="B120" i="18"/>
  <c r="X119" i="18"/>
  <c r="Z119" i="18" s="1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X116" i="18"/>
  <c r="Z116" i="18" s="1"/>
  <c r="N116" i="18"/>
  <c r="L116" i="18"/>
  <c r="B116" i="18"/>
  <c r="Z115" i="18"/>
  <c r="X115" i="18"/>
  <c r="L115" i="18"/>
  <c r="N115" i="18" s="1"/>
  <c r="B115" i="18"/>
  <c r="Z114" i="18"/>
  <c r="X114" i="18"/>
  <c r="N114" i="18"/>
  <c r="L114" i="18"/>
  <c r="B114" i="18"/>
  <c r="X113" i="18"/>
  <c r="Z113" i="18" s="1"/>
  <c r="L113" i="18"/>
  <c r="N113" i="18" s="1"/>
  <c r="B113" i="18"/>
  <c r="Z112" i="18"/>
  <c r="X112" i="18"/>
  <c r="L112" i="18"/>
  <c r="N112" i="18" s="1"/>
  <c r="B112" i="18"/>
  <c r="Z111" i="18"/>
  <c r="X111" i="18"/>
  <c r="N111" i="18"/>
  <c r="L111" i="18"/>
  <c r="B111" i="18"/>
  <c r="Z110" i="18"/>
  <c r="X110" i="18"/>
  <c r="N110" i="18"/>
  <c r="L110" i="18"/>
  <c r="B110" i="18"/>
  <c r="X109" i="18"/>
  <c r="Z109" i="18" s="1"/>
  <c r="L109" i="18"/>
  <c r="N109" i="18" s="1"/>
  <c r="B109" i="18"/>
  <c r="X108" i="18"/>
  <c r="Z108" i="18" s="1"/>
  <c r="N108" i="18"/>
  <c r="L108" i="18"/>
  <c r="B108" i="18"/>
  <c r="Z107" i="18"/>
  <c r="X107" i="18"/>
  <c r="L107" i="18"/>
  <c r="N107" i="18" s="1"/>
  <c r="B107" i="18"/>
  <c r="Z106" i="18"/>
  <c r="X106" i="18"/>
  <c r="N106" i="18"/>
  <c r="L106" i="18"/>
  <c r="B106" i="18"/>
  <c r="X105" i="18"/>
  <c r="Z105" i="18" s="1"/>
  <c r="L105" i="18"/>
  <c r="N105" i="18" s="1"/>
  <c r="B105" i="18"/>
  <c r="Z104" i="18"/>
  <c r="X104" i="18"/>
  <c r="N104" i="18"/>
  <c r="L104" i="18"/>
  <c r="B104" i="18"/>
  <c r="X103" i="18"/>
  <c r="Z103" i="18" s="1"/>
  <c r="N103" i="18"/>
  <c r="L103" i="18"/>
  <c r="B103" i="18"/>
  <c r="Z102" i="18"/>
  <c r="X102" i="18"/>
  <c r="N102" i="18"/>
  <c r="L102" i="18"/>
  <c r="B102" i="18"/>
  <c r="X101" i="18"/>
  <c r="Z101" i="18" s="1"/>
  <c r="L101" i="18"/>
  <c r="N101" i="18" s="1"/>
  <c r="B101" i="18"/>
  <c r="X100" i="18"/>
  <c r="Z100" i="18" s="1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X97" i="18"/>
  <c r="Z97" i="18" s="1"/>
  <c r="N97" i="18"/>
  <c r="L97" i="18"/>
  <c r="B97" i="18"/>
  <c r="Z96" i="18"/>
  <c r="X96" i="18"/>
  <c r="N96" i="18"/>
  <c r="L96" i="18"/>
  <c r="B96" i="18"/>
  <c r="X95" i="18"/>
  <c r="Z95" i="18" s="1"/>
  <c r="N95" i="18"/>
  <c r="L95" i="18"/>
  <c r="B95" i="18"/>
  <c r="Z94" i="18"/>
  <c r="X94" i="18"/>
  <c r="N94" i="18"/>
  <c r="L94" i="18"/>
  <c r="B94" i="18"/>
  <c r="X93" i="18"/>
  <c r="Z93" i="18" s="1"/>
  <c r="L93" i="18"/>
  <c r="N93" i="18" s="1"/>
  <c r="B93" i="18"/>
  <c r="X92" i="18"/>
  <c r="Z92" i="18" s="1"/>
  <c r="N92" i="18"/>
  <c r="L92" i="18"/>
  <c r="B92" i="18"/>
  <c r="Z91" i="18"/>
  <c r="X91" i="18"/>
  <c r="L91" i="18"/>
  <c r="N91" i="18" s="1"/>
  <c r="B91" i="18"/>
  <c r="Z90" i="18"/>
  <c r="X90" i="18"/>
  <c r="N90" i="18"/>
  <c r="L90" i="18"/>
  <c r="B90" i="18"/>
  <c r="Z89" i="18"/>
  <c r="X89" i="18"/>
  <c r="N89" i="18"/>
  <c r="L89" i="18"/>
  <c r="B89" i="18"/>
  <c r="T88" i="18"/>
  <c r="P88" i="18"/>
  <c r="X88" i="18" s="1"/>
  <c r="Z88" i="18" s="1"/>
  <c r="H88" i="18"/>
  <c r="D88" i="18"/>
  <c r="L88" i="18" s="1"/>
  <c r="N88" i="18" s="1"/>
  <c r="X86" i="18"/>
  <c r="T86" i="18"/>
  <c r="Z86" i="18" s="1"/>
  <c r="P86" i="18"/>
  <c r="H86" i="18"/>
  <c r="D86" i="18"/>
  <c r="B86" i="18"/>
  <c r="Z85" i="18"/>
  <c r="X85" i="18"/>
  <c r="T85" i="18"/>
  <c r="P85" i="18"/>
  <c r="H85" i="18"/>
  <c r="D85" i="18"/>
  <c r="L85" i="18" s="1"/>
  <c r="N85" i="18" s="1"/>
  <c r="B85" i="18"/>
  <c r="T84" i="18"/>
  <c r="P84" i="18"/>
  <c r="X84" i="18" s="1"/>
  <c r="Z84" i="18" s="1"/>
  <c r="H84" i="18"/>
  <c r="N84" i="18" s="1"/>
  <c r="D84" i="18"/>
  <c r="L84" i="18" s="1"/>
  <c r="B84" i="18"/>
  <c r="T83" i="18"/>
  <c r="P83" i="18"/>
  <c r="X83" i="18" s="1"/>
  <c r="H83" i="18"/>
  <c r="N83" i="18" s="1"/>
  <c r="D83" i="18"/>
  <c r="L83" i="18" s="1"/>
  <c r="B83" i="18"/>
  <c r="T82" i="18"/>
  <c r="P82" i="18"/>
  <c r="L82" i="18"/>
  <c r="H82" i="18"/>
  <c r="D82" i="18"/>
  <c r="B82" i="18"/>
  <c r="T81" i="18"/>
  <c r="P81" i="18"/>
  <c r="X81" i="18" s="1"/>
  <c r="Z81" i="18" s="1"/>
  <c r="N81" i="18"/>
  <c r="L81" i="18"/>
  <c r="H81" i="18"/>
  <c r="D81" i="18"/>
  <c r="B81" i="18"/>
  <c r="T80" i="18"/>
  <c r="P80" i="18"/>
  <c r="X80" i="18" s="1"/>
  <c r="H80" i="18"/>
  <c r="L80" i="18" s="1"/>
  <c r="N80" i="18" s="1"/>
  <c r="D80" i="18"/>
  <c r="B80" i="18"/>
  <c r="T79" i="18"/>
  <c r="Z79" i="18" s="1"/>
  <c r="P79" i="18"/>
  <c r="N79" i="18"/>
  <c r="H79" i="18"/>
  <c r="D79" i="18"/>
  <c r="L79" i="18" s="1"/>
  <c r="B79" i="18"/>
  <c r="X78" i="18"/>
  <c r="T78" i="18"/>
  <c r="Z78" i="18" s="1"/>
  <c r="P78" i="18"/>
  <c r="H78" i="18"/>
  <c r="D78" i="18"/>
  <c r="L78" i="18" s="1"/>
  <c r="B78" i="18"/>
  <c r="Z77" i="18"/>
  <c r="X77" i="18"/>
  <c r="T77" i="18"/>
  <c r="P77" i="18"/>
  <c r="H77" i="18"/>
  <c r="N77" i="18" s="1"/>
  <c r="D77" i="18"/>
  <c r="L77" i="18" s="1"/>
  <c r="B77" i="18"/>
  <c r="T76" i="18"/>
  <c r="X76" i="18" s="1"/>
  <c r="Z76" i="18" s="1"/>
  <c r="P76" i="18"/>
  <c r="H76" i="18"/>
  <c r="N76" i="18" s="1"/>
  <c r="D76" i="18"/>
  <c r="L76" i="18" s="1"/>
  <c r="B76" i="18"/>
  <c r="T75" i="18"/>
  <c r="P75" i="18"/>
  <c r="X75" i="18" s="1"/>
  <c r="Z75" i="18" s="1"/>
  <c r="H75" i="18"/>
  <c r="D75" i="18"/>
  <c r="B75" i="18"/>
  <c r="T74" i="18"/>
  <c r="Z74" i="18" s="1"/>
  <c r="P74" i="18"/>
  <c r="X74" i="18" s="1"/>
  <c r="L74" i="18"/>
  <c r="H74" i="18"/>
  <c r="N74" i="18" s="1"/>
  <c r="D74" i="18"/>
  <c r="B74" i="18"/>
  <c r="T73" i="18"/>
  <c r="P73" i="18"/>
  <c r="X73" i="18" s="1"/>
  <c r="Z73" i="18" s="1"/>
  <c r="N73" i="18"/>
  <c r="L73" i="18"/>
  <c r="H73" i="18"/>
  <c r="D73" i="18"/>
  <c r="B73" i="18"/>
  <c r="T72" i="18"/>
  <c r="Z72" i="18" s="1"/>
  <c r="P72" i="18"/>
  <c r="X72" i="18" s="1"/>
  <c r="H72" i="18"/>
  <c r="D72" i="18"/>
  <c r="L72" i="18" s="1"/>
  <c r="N72" i="18" s="1"/>
  <c r="B72" i="18"/>
  <c r="T71" i="18"/>
  <c r="P71" i="18"/>
  <c r="X71" i="18" s="1"/>
  <c r="H71" i="18"/>
  <c r="D71" i="18"/>
  <c r="L71" i="18" s="1"/>
  <c r="B71" i="18"/>
  <c r="X70" i="18"/>
  <c r="T70" i="18"/>
  <c r="Z70" i="18" s="1"/>
  <c r="P70" i="18"/>
  <c r="H70" i="18"/>
  <c r="D70" i="18"/>
  <c r="B70" i="18"/>
  <c r="Z69" i="18"/>
  <c r="X69" i="18"/>
  <c r="T69" i="18"/>
  <c r="P69" i="18"/>
  <c r="H69" i="18"/>
  <c r="D69" i="18"/>
  <c r="L69" i="18" s="1"/>
  <c r="N69" i="18" s="1"/>
  <c r="B69" i="18"/>
  <c r="T68" i="18"/>
  <c r="P68" i="18"/>
  <c r="X68" i="18" s="1"/>
  <c r="Z68" i="18" s="1"/>
  <c r="H68" i="18"/>
  <c r="D68" i="18"/>
  <c r="L68" i="18" s="1"/>
  <c r="B68" i="18"/>
  <c r="T67" i="18"/>
  <c r="P67" i="18"/>
  <c r="X67" i="18" s="1"/>
  <c r="H67" i="18"/>
  <c r="D67" i="18"/>
  <c r="B67" i="18"/>
  <c r="T66" i="18"/>
  <c r="P66" i="18"/>
  <c r="L66" i="18"/>
  <c r="H66" i="18"/>
  <c r="N66" i="18" s="1"/>
  <c r="D66" i="18"/>
  <c r="B66" i="18"/>
  <c r="T65" i="18"/>
  <c r="P65" i="18"/>
  <c r="X65" i="18" s="1"/>
  <c r="Z65" i="18" s="1"/>
  <c r="N65" i="18"/>
  <c r="L65" i="18"/>
  <c r="H65" i="18"/>
  <c r="D65" i="18"/>
  <c r="B65" i="18"/>
  <c r="T64" i="18"/>
  <c r="Z64" i="18" s="1"/>
  <c r="P64" i="18"/>
  <c r="X64" i="18" s="1"/>
  <c r="H64" i="18"/>
  <c r="D64" i="18"/>
  <c r="L64" i="18" s="1"/>
  <c r="N64" i="18" s="1"/>
  <c r="B64" i="18"/>
  <c r="T63" i="18"/>
  <c r="P63" i="18"/>
  <c r="H63" i="18"/>
  <c r="D63" i="18"/>
  <c r="L63" i="18" s="1"/>
  <c r="B63" i="18"/>
  <c r="X62" i="18"/>
  <c r="T62" i="18"/>
  <c r="Z62" i="18" s="1"/>
  <c r="P62" i="18"/>
  <c r="H62" i="18"/>
  <c r="N62" i="18" s="1"/>
  <c r="D62" i="18"/>
  <c r="B62" i="18"/>
  <c r="Z61" i="18"/>
  <c r="X61" i="18"/>
  <c r="T61" i="18"/>
  <c r="P61" i="18"/>
  <c r="H61" i="18"/>
  <c r="D61" i="18"/>
  <c r="L61" i="18" s="1"/>
  <c r="N61" i="18" s="1"/>
  <c r="B61" i="18"/>
  <c r="T60" i="18"/>
  <c r="P60" i="18"/>
  <c r="X60" i="18" s="1"/>
  <c r="Z60" i="18" s="1"/>
  <c r="H60" i="18"/>
  <c r="D60" i="18"/>
  <c r="L60" i="18" s="1"/>
  <c r="B60" i="18"/>
  <c r="T59" i="18"/>
  <c r="P59" i="18"/>
  <c r="X59" i="18" s="1"/>
  <c r="H59" i="18"/>
  <c r="D59" i="18"/>
  <c r="L59" i="18" s="1"/>
  <c r="B59" i="18"/>
  <c r="T58" i="18"/>
  <c r="P58" i="18"/>
  <c r="L58" i="18"/>
  <c r="H58" i="18"/>
  <c r="D58" i="18"/>
  <c r="B58" i="18"/>
  <c r="T57" i="18"/>
  <c r="P57" i="18"/>
  <c r="X57" i="18" s="1"/>
  <c r="Z57" i="18" s="1"/>
  <c r="N57" i="18"/>
  <c r="L57" i="18"/>
  <c r="H57" i="18"/>
  <c r="D57" i="18"/>
  <c r="B57" i="18"/>
  <c r="T56" i="18"/>
  <c r="P56" i="18"/>
  <c r="X56" i="18" s="1"/>
  <c r="H56" i="18"/>
  <c r="D56" i="18"/>
  <c r="L56" i="18" s="1"/>
  <c r="N56" i="18" s="1"/>
  <c r="B56" i="18"/>
  <c r="T55" i="18"/>
  <c r="P55" i="18"/>
  <c r="H55" i="18"/>
  <c r="N55" i="18" s="1"/>
  <c r="D55" i="18"/>
  <c r="L55" i="18" s="1"/>
  <c r="B55" i="18"/>
  <c r="X54" i="18"/>
  <c r="T54" i="18"/>
  <c r="Z54" i="18" s="1"/>
  <c r="P54" i="18"/>
  <c r="H54" i="18"/>
  <c r="D54" i="18"/>
  <c r="B54" i="18"/>
  <c r="Z53" i="18"/>
  <c r="X53" i="18"/>
  <c r="T53" i="18"/>
  <c r="P53" i="18"/>
  <c r="H53" i="18"/>
  <c r="D53" i="18"/>
  <c r="L53" i="18" s="1"/>
  <c r="N53" i="18" s="1"/>
  <c r="B53" i="18"/>
  <c r="T52" i="18"/>
  <c r="P52" i="18"/>
  <c r="X52" i="18" s="1"/>
  <c r="Z52" i="18" s="1"/>
  <c r="H52" i="18"/>
  <c r="D52" i="18"/>
  <c r="L52" i="18" s="1"/>
  <c r="B52" i="18"/>
  <c r="T51" i="18"/>
  <c r="Z51" i="18" s="1"/>
  <c r="P51" i="18"/>
  <c r="X51" i="18" s="1"/>
  <c r="H51" i="18"/>
  <c r="D51" i="18"/>
  <c r="L51" i="18" s="1"/>
  <c r="B51" i="18"/>
  <c r="T50" i="18"/>
  <c r="P50" i="18"/>
  <c r="L50" i="18"/>
  <c r="H50" i="18"/>
  <c r="D50" i="18"/>
  <c r="B50" i="18"/>
  <c r="T49" i="18"/>
  <c r="P49" i="18"/>
  <c r="X49" i="18" s="1"/>
  <c r="Z49" i="18" s="1"/>
  <c r="N49" i="18"/>
  <c r="L49" i="18"/>
  <c r="H49" i="18"/>
  <c r="D49" i="18"/>
  <c r="B49" i="18"/>
  <c r="T48" i="18"/>
  <c r="P48" i="18"/>
  <c r="X48" i="18" s="1"/>
  <c r="N48" i="18"/>
  <c r="H48" i="18"/>
  <c r="D48" i="18"/>
  <c r="L48" i="18" s="1"/>
  <c r="B48" i="18"/>
  <c r="T47" i="18"/>
  <c r="P47" i="18"/>
  <c r="H47" i="18"/>
  <c r="N47" i="18" s="1"/>
  <c r="D47" i="18"/>
  <c r="L47" i="18" s="1"/>
  <c r="B47" i="18"/>
  <c r="X46" i="18"/>
  <c r="T46" i="18"/>
  <c r="Z46" i="18" s="1"/>
  <c r="P46" i="18"/>
  <c r="H46" i="18"/>
  <c r="D46" i="18"/>
  <c r="B46" i="18"/>
  <c r="Z45" i="18"/>
  <c r="X45" i="18"/>
  <c r="T45" i="18"/>
  <c r="P45" i="18"/>
  <c r="N45" i="18"/>
  <c r="H45" i="18"/>
  <c r="D45" i="18"/>
  <c r="L45" i="18" s="1"/>
  <c r="B45" i="18"/>
  <c r="T44" i="18"/>
  <c r="P44" i="18"/>
  <c r="X44" i="18" s="1"/>
  <c r="Z44" i="18" s="1"/>
  <c r="H44" i="18"/>
  <c r="D44" i="18"/>
  <c r="L44" i="18" s="1"/>
  <c r="B44" i="18"/>
  <c r="T43" i="18"/>
  <c r="Z43" i="18" s="1"/>
  <c r="P43" i="18"/>
  <c r="X43" i="18" s="1"/>
  <c r="H43" i="18"/>
  <c r="D43" i="18"/>
  <c r="B43" i="18"/>
  <c r="T42" i="18"/>
  <c r="P42" i="18"/>
  <c r="L42" i="18"/>
  <c r="H42" i="18"/>
  <c r="N42" i="18" s="1"/>
  <c r="D42" i="18"/>
  <c r="B42" i="18"/>
  <c r="T41" i="18"/>
  <c r="P41" i="18"/>
  <c r="X41" i="18" s="1"/>
  <c r="Z41" i="18" s="1"/>
  <c r="N41" i="18"/>
  <c r="L41" i="18"/>
  <c r="H41" i="18"/>
  <c r="D41" i="18"/>
  <c r="B41" i="18"/>
  <c r="T40" i="18"/>
  <c r="Z40" i="18" s="1"/>
  <c r="P40" i="18"/>
  <c r="X40" i="18" s="1"/>
  <c r="H40" i="18"/>
  <c r="D40" i="18"/>
  <c r="L40" i="18" s="1"/>
  <c r="N40" i="18" s="1"/>
  <c r="B40" i="18"/>
  <c r="T39" i="18"/>
  <c r="P39" i="18"/>
  <c r="X39" i="18" s="1"/>
  <c r="H39" i="18"/>
  <c r="D39" i="18"/>
  <c r="L39" i="18" s="1"/>
  <c r="B39" i="18"/>
  <c r="X38" i="18"/>
  <c r="T38" i="18"/>
  <c r="Z38" i="18" s="1"/>
  <c r="P38" i="18"/>
  <c r="H38" i="18"/>
  <c r="D38" i="18"/>
  <c r="B38" i="18"/>
  <c r="Z37" i="18"/>
  <c r="X37" i="18"/>
  <c r="T37" i="18"/>
  <c r="P37" i="18"/>
  <c r="H37" i="18"/>
  <c r="D37" i="18"/>
  <c r="L37" i="18" s="1"/>
  <c r="N37" i="18" s="1"/>
  <c r="B37" i="18"/>
  <c r="T36" i="18"/>
  <c r="P36" i="18"/>
  <c r="X36" i="18" s="1"/>
  <c r="Z36" i="18" s="1"/>
  <c r="H36" i="18"/>
  <c r="N36" i="18" s="1"/>
  <c r="D36" i="18"/>
  <c r="L36" i="18" s="1"/>
  <c r="B36" i="18"/>
  <c r="T35" i="18"/>
  <c r="P35" i="18"/>
  <c r="X35" i="18" s="1"/>
  <c r="H35" i="18"/>
  <c r="D35" i="18"/>
  <c r="B35" i="18"/>
  <c r="T34" i="18"/>
  <c r="P34" i="18"/>
  <c r="L34" i="18"/>
  <c r="H34" i="18"/>
  <c r="N34" i="18" s="1"/>
  <c r="D34" i="18"/>
  <c r="B34" i="18"/>
  <c r="T33" i="18"/>
  <c r="P33" i="18"/>
  <c r="X33" i="18" s="1"/>
  <c r="Z33" i="18" s="1"/>
  <c r="N33" i="18"/>
  <c r="L33" i="18"/>
  <c r="H33" i="18"/>
  <c r="D33" i="18"/>
  <c r="B33" i="18"/>
  <c r="T32" i="18"/>
  <c r="Z32" i="18" s="1"/>
  <c r="P32" i="18"/>
  <c r="X32" i="18" s="1"/>
  <c r="H32" i="18"/>
  <c r="D32" i="18"/>
  <c r="L32" i="18" s="1"/>
  <c r="N32" i="18" s="1"/>
  <c r="B32" i="18"/>
  <c r="T31" i="18"/>
  <c r="P31" i="18"/>
  <c r="X31" i="18" s="1"/>
  <c r="H31" i="18"/>
  <c r="D31" i="18"/>
  <c r="L31" i="18" s="1"/>
  <c r="B31" i="18"/>
  <c r="X30" i="18"/>
  <c r="T30" i="18"/>
  <c r="P30" i="18"/>
  <c r="H30" i="18"/>
  <c r="D30" i="18"/>
  <c r="B30" i="18"/>
  <c r="Z29" i="18"/>
  <c r="X29" i="18"/>
  <c r="T29" i="18"/>
  <c r="P29" i="18"/>
  <c r="H29" i="18"/>
  <c r="D29" i="18"/>
  <c r="L29" i="18" s="1"/>
  <c r="N29" i="18" s="1"/>
  <c r="B29" i="18"/>
  <c r="T28" i="18"/>
  <c r="P28" i="18"/>
  <c r="X28" i="18" s="1"/>
  <c r="Z28" i="18" s="1"/>
  <c r="H28" i="18"/>
  <c r="D28" i="18"/>
  <c r="L28" i="18" s="1"/>
  <c r="B28" i="18"/>
  <c r="T27" i="18"/>
  <c r="P27" i="18"/>
  <c r="X27" i="18" s="1"/>
  <c r="H27" i="18"/>
  <c r="D27" i="18"/>
  <c r="L27" i="18" s="1"/>
  <c r="B27" i="18"/>
  <c r="T26" i="18"/>
  <c r="P26" i="18"/>
  <c r="L26" i="18"/>
  <c r="H26" i="18"/>
  <c r="D26" i="18"/>
  <c r="B26" i="18"/>
  <c r="T25" i="18"/>
  <c r="P25" i="18"/>
  <c r="X25" i="18" s="1"/>
  <c r="Z25" i="18" s="1"/>
  <c r="N25" i="18"/>
  <c r="L25" i="18"/>
  <c r="H25" i="18"/>
  <c r="D25" i="18"/>
  <c r="B25" i="18"/>
  <c r="T24" i="18"/>
  <c r="P24" i="18"/>
  <c r="X24" i="18" s="1"/>
  <c r="H24" i="18"/>
  <c r="D24" i="18"/>
  <c r="L24" i="18" s="1"/>
  <c r="N24" i="18" s="1"/>
  <c r="B24" i="18"/>
  <c r="T23" i="18"/>
  <c r="P23" i="18"/>
  <c r="H23" i="18"/>
  <c r="D23" i="18"/>
  <c r="L23" i="18" s="1"/>
  <c r="B23" i="18"/>
  <c r="X22" i="18"/>
  <c r="T22" i="18"/>
  <c r="P22" i="18"/>
  <c r="H22" i="18"/>
  <c r="D22" i="18"/>
  <c r="B22" i="18"/>
  <c r="Z21" i="18"/>
  <c r="X21" i="18"/>
  <c r="T21" i="18"/>
  <c r="P21" i="18"/>
  <c r="N21" i="18"/>
  <c r="H21" i="18"/>
  <c r="D21" i="18"/>
  <c r="L21" i="18" s="1"/>
  <c r="B21" i="18"/>
  <c r="T20" i="18"/>
  <c r="P20" i="18"/>
  <c r="X20" i="18" s="1"/>
  <c r="Z20" i="18" s="1"/>
  <c r="H20" i="18"/>
  <c r="N20" i="18" s="1"/>
  <c r="D20" i="18"/>
  <c r="L20" i="18" s="1"/>
  <c r="B20" i="18"/>
  <c r="T19" i="18"/>
  <c r="Z19" i="18" s="1"/>
  <c r="P19" i="18"/>
  <c r="X19" i="18" s="1"/>
  <c r="H19" i="18"/>
  <c r="D19" i="18"/>
  <c r="L19" i="18" s="1"/>
  <c r="B19" i="18"/>
  <c r="T18" i="18"/>
  <c r="P18" i="18"/>
  <c r="L18" i="18"/>
  <c r="H18" i="18"/>
  <c r="D18" i="18"/>
  <c r="B18" i="18"/>
  <c r="T17" i="18"/>
  <c r="P17" i="18"/>
  <c r="X17" i="18" s="1"/>
  <c r="Z17" i="18" s="1"/>
  <c r="N17" i="18"/>
  <c r="L17" i="18"/>
  <c r="H17" i="18"/>
  <c r="D17" i="18"/>
  <c r="B17" i="18"/>
  <c r="T16" i="18"/>
  <c r="P16" i="18"/>
  <c r="X16" i="18" s="1"/>
  <c r="H16" i="18"/>
  <c r="D16" i="18"/>
  <c r="L16" i="18" s="1"/>
  <c r="N16" i="18" s="1"/>
  <c r="B16" i="18"/>
  <c r="T15" i="18"/>
  <c r="P15" i="18"/>
  <c r="H15" i="18"/>
  <c r="D15" i="18"/>
  <c r="L15" i="18" s="1"/>
  <c r="B15" i="18"/>
  <c r="X14" i="18"/>
  <c r="T14" i="18"/>
  <c r="T12" i="18" s="1"/>
  <c r="P14" i="18"/>
  <c r="H14" i="18"/>
  <c r="D14" i="18"/>
  <c r="B14" i="18"/>
  <c r="Z13" i="18"/>
  <c r="X13" i="18"/>
  <c r="T13" i="18"/>
  <c r="P13" i="18"/>
  <c r="H13" i="18"/>
  <c r="D13" i="18"/>
  <c r="L13" i="18" s="1"/>
  <c r="N13" i="18" s="1"/>
  <c r="B13" i="18"/>
  <c r="D4" i="18"/>
  <c r="B39" i="17"/>
  <c r="B38" i="17"/>
  <c r="T34" i="17"/>
  <c r="Z34" i="17" s="1"/>
  <c r="P34" i="17"/>
  <c r="H34" i="17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4" i="17" s="1"/>
  <c r="P12" i="17"/>
  <c r="R24" i="17" s="1"/>
  <c r="H12" i="17"/>
  <c r="J21" i="17" s="1"/>
  <c r="D12" i="17"/>
  <c r="F16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D24" i="16"/>
  <c r="T22" i="16"/>
  <c r="P22" i="16"/>
  <c r="H22" i="16"/>
  <c r="N22" i="16" s="1"/>
  <c r="D22" i="16"/>
  <c r="B22" i="16"/>
  <c r="T21" i="16"/>
  <c r="Z21" i="16" s="1"/>
  <c r="P21" i="16"/>
  <c r="H21" i="16"/>
  <c r="D21" i="16"/>
  <c r="B21" i="16"/>
  <c r="T20" i="16"/>
  <c r="Z20" i="16" s="1"/>
  <c r="P20" i="16"/>
  <c r="H20" i="16"/>
  <c r="D20" i="16"/>
  <c r="T16" i="16"/>
  <c r="Z16" i="16" s="1"/>
  <c r="P16" i="16"/>
  <c r="H16" i="16"/>
  <c r="D16" i="16"/>
  <c r="B16" i="16"/>
  <c r="T15" i="16"/>
  <c r="P15" i="16"/>
  <c r="H15" i="16"/>
  <c r="N15" i="16" s="1"/>
  <c r="D15" i="16"/>
  <c r="T13" i="16"/>
  <c r="P13" i="16"/>
  <c r="H13" i="16"/>
  <c r="N13" i="16" s="1"/>
  <c r="D13" i="16"/>
  <c r="B13" i="16"/>
  <c r="T12" i="16"/>
  <c r="P12" i="16"/>
  <c r="R22" i="16" s="1"/>
  <c r="H12" i="16"/>
  <c r="J34" i="16" s="1"/>
  <c r="D12" i="16"/>
  <c r="F22" i="16" s="1"/>
  <c r="D5" i="16"/>
  <c r="D4" i="16"/>
  <c r="X201" i="15"/>
  <c r="Z201" i="15" s="1"/>
  <c r="L201" i="15"/>
  <c r="N201" i="15" s="1"/>
  <c r="X197" i="15"/>
  <c r="Z197" i="15" s="1"/>
  <c r="T197" i="15"/>
  <c r="P197" i="15"/>
  <c r="H197" i="15"/>
  <c r="D197" i="15"/>
  <c r="B197" i="15"/>
  <c r="T196" i="15"/>
  <c r="P196" i="15"/>
  <c r="H196" i="15"/>
  <c r="D196" i="15"/>
  <c r="B196" i="15"/>
  <c r="T195" i="15"/>
  <c r="Z195" i="15" s="1"/>
  <c r="P195" i="15"/>
  <c r="X195" i="15" s="1"/>
  <c r="N195" i="15"/>
  <c r="L195" i="15"/>
  <c r="H195" i="15"/>
  <c r="D195" i="15"/>
  <c r="B195" i="15"/>
  <c r="X194" i="15"/>
  <c r="Z194" i="15" s="1"/>
  <c r="T194" i="15"/>
  <c r="P194" i="15"/>
  <c r="H194" i="15"/>
  <c r="D194" i="15"/>
  <c r="B194" i="15"/>
  <c r="P193" i="15"/>
  <c r="X191" i="15"/>
  <c r="Z191" i="15" s="1"/>
  <c r="L191" i="15"/>
  <c r="N191" i="15" s="1"/>
  <c r="B191" i="15"/>
  <c r="T190" i="15"/>
  <c r="P190" i="15"/>
  <c r="X190" i="15" s="1"/>
  <c r="Z190" i="15" s="1"/>
  <c r="L190" i="15"/>
  <c r="N190" i="15" s="1"/>
  <c r="H190" i="15"/>
  <c r="D190" i="15"/>
  <c r="B190" i="15"/>
  <c r="X189" i="15"/>
  <c r="Z189" i="15" s="1"/>
  <c r="N189" i="15"/>
  <c r="L189" i="15"/>
  <c r="B189" i="15"/>
  <c r="X188" i="15"/>
  <c r="Z188" i="15" s="1"/>
  <c r="N188" i="15"/>
  <c r="L188" i="15"/>
  <c r="B188" i="15"/>
  <c r="Z187" i="15"/>
  <c r="X187" i="15"/>
  <c r="N187" i="15"/>
  <c r="L187" i="15"/>
  <c r="B187" i="15"/>
  <c r="T186" i="15"/>
  <c r="P186" i="15"/>
  <c r="X186" i="15" s="1"/>
  <c r="Z186" i="15" s="1"/>
  <c r="L186" i="15"/>
  <c r="N186" i="15" s="1"/>
  <c r="H186" i="15"/>
  <c r="D186" i="15"/>
  <c r="B186" i="15"/>
  <c r="X185" i="15"/>
  <c r="Z185" i="15" s="1"/>
  <c r="N185" i="15"/>
  <c r="L185" i="15"/>
  <c r="B185" i="15"/>
  <c r="X184" i="15"/>
  <c r="Z184" i="15" s="1"/>
  <c r="T184" i="15"/>
  <c r="P184" i="15"/>
  <c r="H184" i="15"/>
  <c r="D184" i="15"/>
  <c r="B184" i="15"/>
  <c r="X183" i="15"/>
  <c r="Z183" i="15" s="1"/>
  <c r="L183" i="15"/>
  <c r="N183" i="15" s="1"/>
  <c r="B183" i="15"/>
  <c r="Z182" i="15"/>
  <c r="X182" i="15"/>
  <c r="N182" i="15"/>
  <c r="L182" i="15"/>
  <c r="B182" i="15"/>
  <c r="T181" i="15"/>
  <c r="P181" i="15"/>
  <c r="H181" i="15"/>
  <c r="N181" i="15" s="1"/>
  <c r="D181" i="15"/>
  <c r="L181" i="15" s="1"/>
  <c r="B181" i="15"/>
  <c r="Z180" i="15"/>
  <c r="X180" i="15"/>
  <c r="L180" i="15"/>
  <c r="N180" i="15" s="1"/>
  <c r="B180" i="15"/>
  <c r="X179" i="15"/>
  <c r="Z179" i="15" s="1"/>
  <c r="L179" i="15"/>
  <c r="N179" i="15" s="1"/>
  <c r="B179" i="15"/>
  <c r="Z178" i="15"/>
  <c r="X178" i="15"/>
  <c r="N178" i="15"/>
  <c r="L178" i="15"/>
  <c r="B178" i="15"/>
  <c r="X177" i="15"/>
  <c r="Z177" i="15" s="1"/>
  <c r="L177" i="15"/>
  <c r="N177" i="15" s="1"/>
  <c r="B177" i="15"/>
  <c r="X176" i="15"/>
  <c r="Z176" i="15" s="1"/>
  <c r="N176" i="15"/>
  <c r="L176" i="15"/>
  <c r="B176" i="15"/>
  <c r="X175" i="15"/>
  <c r="Z175" i="15" s="1"/>
  <c r="L175" i="15"/>
  <c r="N175" i="15" s="1"/>
  <c r="B175" i="15"/>
  <c r="T174" i="15"/>
  <c r="P174" i="15"/>
  <c r="X174" i="15" s="1"/>
  <c r="Z174" i="15" s="1"/>
  <c r="L174" i="15"/>
  <c r="N174" i="15" s="1"/>
  <c r="H174" i="15"/>
  <c r="D174" i="15"/>
  <c r="B174" i="15"/>
  <c r="X173" i="15"/>
  <c r="Z173" i="15" s="1"/>
  <c r="N173" i="15"/>
  <c r="L173" i="15"/>
  <c r="B173" i="15"/>
  <c r="X172" i="15"/>
  <c r="Z172" i="15" s="1"/>
  <c r="N172" i="15"/>
  <c r="L172" i="15"/>
  <c r="B172" i="15"/>
  <c r="X171" i="15"/>
  <c r="Z171" i="15" s="1"/>
  <c r="T171" i="15"/>
  <c r="P171" i="15"/>
  <c r="H171" i="15"/>
  <c r="D171" i="15"/>
  <c r="B171" i="15"/>
  <c r="Z170" i="15"/>
  <c r="X170" i="15"/>
  <c r="N170" i="15"/>
  <c r="L170" i="15"/>
  <c r="B170" i="15"/>
  <c r="X169" i="15"/>
  <c r="Z169" i="15" s="1"/>
  <c r="L169" i="15"/>
  <c r="N169" i="15" s="1"/>
  <c r="B169" i="15"/>
  <c r="X168" i="15"/>
  <c r="Z168" i="15" s="1"/>
  <c r="N168" i="15"/>
  <c r="L168" i="15"/>
  <c r="B168" i="15"/>
  <c r="X167" i="15"/>
  <c r="Z167" i="15" s="1"/>
  <c r="L167" i="15"/>
  <c r="N167" i="15" s="1"/>
  <c r="B167" i="15"/>
  <c r="Z166" i="15"/>
  <c r="T166" i="15"/>
  <c r="P166" i="15"/>
  <c r="X166" i="15" s="1"/>
  <c r="L166" i="15"/>
  <c r="N166" i="15" s="1"/>
  <c r="H166" i="15"/>
  <c r="D166" i="15"/>
  <c r="B166" i="15"/>
  <c r="X165" i="15"/>
  <c r="Z165" i="15" s="1"/>
  <c r="L165" i="15"/>
  <c r="N165" i="15" s="1"/>
  <c r="B165" i="15"/>
  <c r="Z164" i="15"/>
  <c r="X164" i="15"/>
  <c r="N164" i="15"/>
  <c r="L164" i="15"/>
  <c r="B164" i="15"/>
  <c r="Z163" i="15"/>
  <c r="X163" i="15"/>
  <c r="L163" i="15"/>
  <c r="N163" i="15" s="1"/>
  <c r="B163" i="15"/>
  <c r="Z162" i="15"/>
  <c r="T162" i="15"/>
  <c r="P162" i="15"/>
  <c r="X162" i="15" s="1"/>
  <c r="L162" i="15"/>
  <c r="N162" i="15" s="1"/>
  <c r="H162" i="15"/>
  <c r="D162" i="15"/>
  <c r="B162" i="15"/>
  <c r="X161" i="15"/>
  <c r="Z161" i="15" s="1"/>
  <c r="L161" i="15"/>
  <c r="N161" i="15" s="1"/>
  <c r="B161" i="15"/>
  <c r="X160" i="15"/>
  <c r="Z160" i="15" s="1"/>
  <c r="N160" i="15"/>
  <c r="L160" i="15"/>
  <c r="B160" i="15"/>
  <c r="X159" i="15"/>
  <c r="Z159" i="15" s="1"/>
  <c r="L159" i="15"/>
  <c r="N159" i="15" s="1"/>
  <c r="B159" i="15"/>
  <c r="Z158" i="15"/>
  <c r="X158" i="15"/>
  <c r="N158" i="15"/>
  <c r="L158" i="15"/>
  <c r="B158" i="15"/>
  <c r="T157" i="15"/>
  <c r="Z157" i="15" s="1"/>
  <c r="P157" i="15"/>
  <c r="X157" i="15" s="1"/>
  <c r="L157" i="15"/>
  <c r="N157" i="15" s="1"/>
  <c r="H157" i="15"/>
  <c r="D157" i="15"/>
  <c r="B157" i="15"/>
  <c r="X156" i="15"/>
  <c r="Z156" i="15" s="1"/>
  <c r="N156" i="15"/>
  <c r="L156" i="15"/>
  <c r="B156" i="15"/>
  <c r="X155" i="15"/>
  <c r="Z155" i="15" s="1"/>
  <c r="T155" i="15"/>
  <c r="P155" i="15"/>
  <c r="H155" i="15"/>
  <c r="D155" i="15"/>
  <c r="B155" i="15"/>
  <c r="Z154" i="15"/>
  <c r="X154" i="15"/>
  <c r="N154" i="15"/>
  <c r="L154" i="15"/>
  <c r="B154" i="15"/>
  <c r="X153" i="15"/>
  <c r="Z153" i="15" s="1"/>
  <c r="L153" i="15"/>
  <c r="N153" i="15" s="1"/>
  <c r="B153" i="15"/>
  <c r="X152" i="15"/>
  <c r="Z152" i="15" s="1"/>
  <c r="T152" i="15"/>
  <c r="P152" i="15"/>
  <c r="H152" i="15"/>
  <c r="D152" i="15"/>
  <c r="B152" i="15"/>
  <c r="X151" i="15"/>
  <c r="Z151" i="15" s="1"/>
  <c r="N151" i="15"/>
  <c r="L151" i="15"/>
  <c r="B151" i="15"/>
  <c r="T150" i="15"/>
  <c r="P150" i="15"/>
  <c r="H150" i="15"/>
  <c r="D150" i="15"/>
  <c r="L150" i="15" s="1"/>
  <c r="N150" i="15" s="1"/>
  <c r="B150" i="15"/>
  <c r="X149" i="15"/>
  <c r="Z149" i="15" s="1"/>
  <c r="L149" i="15"/>
  <c r="N149" i="15" s="1"/>
  <c r="B149" i="15"/>
  <c r="T148" i="15"/>
  <c r="P148" i="15"/>
  <c r="X148" i="15" s="1"/>
  <c r="Z148" i="15" s="1"/>
  <c r="N148" i="15"/>
  <c r="H148" i="15"/>
  <c r="D148" i="15"/>
  <c r="L148" i="15" s="1"/>
  <c r="B148" i="15"/>
  <c r="X147" i="15"/>
  <c r="Z147" i="15" s="1"/>
  <c r="L147" i="15"/>
  <c r="N147" i="15" s="1"/>
  <c r="B147" i="15"/>
  <c r="Z146" i="15"/>
  <c r="X146" i="15"/>
  <c r="N146" i="15"/>
  <c r="L146" i="15"/>
  <c r="B146" i="15"/>
  <c r="T145" i="15"/>
  <c r="P145" i="15"/>
  <c r="X145" i="15" s="1"/>
  <c r="N145" i="15"/>
  <c r="L145" i="15"/>
  <c r="H145" i="15"/>
  <c r="D145" i="15"/>
  <c r="B145" i="15"/>
  <c r="X144" i="15"/>
  <c r="Z144" i="15" s="1"/>
  <c r="N144" i="15"/>
  <c r="L144" i="15"/>
  <c r="B144" i="15"/>
  <c r="X143" i="15"/>
  <c r="Z143" i="15" s="1"/>
  <c r="T143" i="15"/>
  <c r="P143" i="15"/>
  <c r="H143" i="15"/>
  <c r="D143" i="15"/>
  <c r="B143" i="15"/>
  <c r="Z142" i="15"/>
  <c r="X142" i="15"/>
  <c r="N142" i="15"/>
  <c r="L142" i="15"/>
  <c r="B142" i="15"/>
  <c r="T141" i="15"/>
  <c r="P141" i="15"/>
  <c r="H141" i="15"/>
  <c r="N141" i="15" s="1"/>
  <c r="D141" i="15"/>
  <c r="L141" i="15" s="1"/>
  <c r="B141" i="15"/>
  <c r="Z140" i="15"/>
  <c r="X140" i="15"/>
  <c r="N140" i="15"/>
  <c r="L140" i="15"/>
  <c r="B140" i="15"/>
  <c r="Z139" i="15"/>
  <c r="X139" i="15"/>
  <c r="N139" i="15"/>
  <c r="L139" i="15"/>
  <c r="B139" i="15"/>
  <c r="T138" i="15"/>
  <c r="P138" i="15"/>
  <c r="N138" i="15"/>
  <c r="H138" i="15"/>
  <c r="D138" i="15"/>
  <c r="L138" i="15" s="1"/>
  <c r="B138" i="15"/>
  <c r="X137" i="15"/>
  <c r="Z137" i="15" s="1"/>
  <c r="L137" i="15"/>
  <c r="N137" i="15" s="1"/>
  <c r="B137" i="15"/>
  <c r="Z136" i="15"/>
  <c r="X136" i="15"/>
  <c r="L136" i="15"/>
  <c r="N136" i="15" s="1"/>
  <c r="B136" i="15"/>
  <c r="T135" i="15"/>
  <c r="P135" i="15"/>
  <c r="X135" i="15" s="1"/>
  <c r="H135" i="15"/>
  <c r="D135" i="15"/>
  <c r="L135" i="15" s="1"/>
  <c r="B135" i="15"/>
  <c r="Z134" i="15"/>
  <c r="X134" i="15"/>
  <c r="N134" i="15"/>
  <c r="L134" i="15"/>
  <c r="B134" i="15"/>
  <c r="T133" i="15"/>
  <c r="P133" i="15"/>
  <c r="X133" i="15" s="1"/>
  <c r="L133" i="15"/>
  <c r="N133" i="15" s="1"/>
  <c r="H133" i="15"/>
  <c r="D133" i="15"/>
  <c r="B133" i="15"/>
  <c r="X132" i="15"/>
  <c r="Z132" i="15" s="1"/>
  <c r="N132" i="15"/>
  <c r="L132" i="15"/>
  <c r="B132" i="15"/>
  <c r="X131" i="15"/>
  <c r="Z131" i="15" s="1"/>
  <c r="T131" i="15"/>
  <c r="P131" i="15"/>
  <c r="H131" i="15"/>
  <c r="D131" i="15"/>
  <c r="B131" i="15"/>
  <c r="Z130" i="15"/>
  <c r="X130" i="15"/>
  <c r="N130" i="15"/>
  <c r="L130" i="15"/>
  <c r="B130" i="15"/>
  <c r="T129" i="15"/>
  <c r="P129" i="15"/>
  <c r="H129" i="15"/>
  <c r="N129" i="15" s="1"/>
  <c r="D129" i="15"/>
  <c r="L129" i="15" s="1"/>
  <c r="B129" i="15"/>
  <c r="Z128" i="15"/>
  <c r="X128" i="15"/>
  <c r="L128" i="15"/>
  <c r="N128" i="15" s="1"/>
  <c r="B128" i="15"/>
  <c r="X127" i="15"/>
  <c r="Z127" i="15" s="1"/>
  <c r="L127" i="15"/>
  <c r="N127" i="15" s="1"/>
  <c r="B127" i="15"/>
  <c r="Z126" i="15"/>
  <c r="X126" i="15"/>
  <c r="N126" i="15"/>
  <c r="L126" i="15"/>
  <c r="B126" i="15"/>
  <c r="X125" i="15"/>
  <c r="Z125" i="15" s="1"/>
  <c r="L125" i="15"/>
  <c r="N125" i="15" s="1"/>
  <c r="B125" i="15"/>
  <c r="X124" i="15"/>
  <c r="Z124" i="15" s="1"/>
  <c r="N124" i="15"/>
  <c r="L124" i="15"/>
  <c r="B124" i="15"/>
  <c r="X123" i="15"/>
  <c r="Z123" i="15" s="1"/>
  <c r="L123" i="15"/>
  <c r="N123" i="15" s="1"/>
  <c r="B123" i="15"/>
  <c r="Z122" i="15"/>
  <c r="X122" i="15"/>
  <c r="N122" i="15"/>
  <c r="L122" i="15"/>
  <c r="B122" i="15"/>
  <c r="T121" i="15"/>
  <c r="P121" i="15"/>
  <c r="X121" i="15" s="1"/>
  <c r="N121" i="15"/>
  <c r="L121" i="15"/>
  <c r="H121" i="15"/>
  <c r="D121" i="15"/>
  <c r="B121" i="15"/>
  <c r="X120" i="15"/>
  <c r="Z120" i="15" s="1"/>
  <c r="N120" i="15"/>
  <c r="L120" i="15"/>
  <c r="B120" i="15"/>
  <c r="X119" i="15"/>
  <c r="Z119" i="15" s="1"/>
  <c r="L119" i="15"/>
  <c r="N119" i="15" s="1"/>
  <c r="B119" i="15"/>
  <c r="Z118" i="15"/>
  <c r="X118" i="15"/>
  <c r="N118" i="15"/>
  <c r="L118" i="15"/>
  <c r="B118" i="15"/>
  <c r="X117" i="15"/>
  <c r="Z117" i="15" s="1"/>
  <c r="L117" i="15"/>
  <c r="N117" i="15" s="1"/>
  <c r="B117" i="15"/>
  <c r="Z116" i="15"/>
  <c r="X116" i="15"/>
  <c r="N116" i="15"/>
  <c r="L116" i="15"/>
  <c r="B116" i="15"/>
  <c r="X115" i="15"/>
  <c r="Z115" i="15" s="1"/>
  <c r="N115" i="15"/>
  <c r="L115" i="15"/>
  <c r="B115" i="15"/>
  <c r="Z114" i="15"/>
  <c r="X114" i="15"/>
  <c r="N114" i="15"/>
  <c r="L114" i="15"/>
  <c r="B114" i="15"/>
  <c r="X113" i="15"/>
  <c r="Z113" i="15" s="1"/>
  <c r="L113" i="15"/>
  <c r="N113" i="15" s="1"/>
  <c r="B113" i="15"/>
  <c r="X112" i="15"/>
  <c r="Z112" i="15" s="1"/>
  <c r="N112" i="15"/>
  <c r="L112" i="15"/>
  <c r="B112" i="15"/>
  <c r="Z111" i="15"/>
  <c r="X111" i="15"/>
  <c r="L111" i="15"/>
  <c r="N111" i="15" s="1"/>
  <c r="B111" i="15"/>
  <c r="Z110" i="15"/>
  <c r="T110" i="15"/>
  <c r="P110" i="15"/>
  <c r="X110" i="15" s="1"/>
  <c r="L110" i="15"/>
  <c r="N110" i="15" s="1"/>
  <c r="H110" i="15"/>
  <c r="D110" i="15"/>
  <c r="B110" i="15"/>
  <c r="T109" i="15"/>
  <c r="P109" i="15"/>
  <c r="H109" i="15"/>
  <c r="N109" i="15" s="1"/>
  <c r="D109" i="15"/>
  <c r="L109" i="15" s="1"/>
  <c r="Z105" i="15"/>
  <c r="X105" i="15"/>
  <c r="N105" i="15"/>
  <c r="L105" i="15"/>
  <c r="B105" i="15"/>
  <c r="X104" i="15"/>
  <c r="Z104" i="15" s="1"/>
  <c r="N104" i="15"/>
  <c r="L104" i="15"/>
  <c r="B104" i="15"/>
  <c r="Z103" i="15"/>
  <c r="X103" i="15"/>
  <c r="N103" i="15"/>
  <c r="L103" i="15"/>
  <c r="B103" i="15"/>
  <c r="Z102" i="15"/>
  <c r="X102" i="15"/>
  <c r="N102" i="15"/>
  <c r="L102" i="15"/>
  <c r="B102" i="15"/>
  <c r="X101" i="15"/>
  <c r="Z101" i="15" s="1"/>
  <c r="L101" i="15"/>
  <c r="N101" i="15" s="1"/>
  <c r="B101" i="15"/>
  <c r="Z100" i="15"/>
  <c r="X100" i="15"/>
  <c r="L100" i="15"/>
  <c r="N100" i="15" s="1"/>
  <c r="B100" i="15"/>
  <c r="X99" i="15"/>
  <c r="Z99" i="15" s="1"/>
  <c r="N99" i="15"/>
  <c r="L99" i="15"/>
  <c r="B99" i="15"/>
  <c r="Z98" i="15"/>
  <c r="X98" i="15"/>
  <c r="N98" i="15"/>
  <c r="L98" i="15"/>
  <c r="B98" i="15"/>
  <c r="Z97" i="15"/>
  <c r="X97" i="15"/>
  <c r="N97" i="15"/>
  <c r="L97" i="15"/>
  <c r="B97" i="15"/>
  <c r="X96" i="15"/>
  <c r="Z96" i="15" s="1"/>
  <c r="N96" i="15"/>
  <c r="L96" i="15"/>
  <c r="B96" i="15"/>
  <c r="X95" i="15"/>
  <c r="Z95" i="15" s="1"/>
  <c r="L95" i="15"/>
  <c r="N95" i="15" s="1"/>
  <c r="B95" i="15"/>
  <c r="Z94" i="15"/>
  <c r="X94" i="15"/>
  <c r="N94" i="15"/>
  <c r="L94" i="15"/>
  <c r="B94" i="15"/>
  <c r="X93" i="15"/>
  <c r="Z93" i="15" s="1"/>
  <c r="L93" i="15"/>
  <c r="N93" i="15" s="1"/>
  <c r="B93" i="15"/>
  <c r="Z92" i="15"/>
  <c r="X92" i="15"/>
  <c r="L92" i="15"/>
  <c r="N92" i="15" s="1"/>
  <c r="B92" i="15"/>
  <c r="Z91" i="15"/>
  <c r="X91" i="15"/>
  <c r="N91" i="15"/>
  <c r="L91" i="15"/>
  <c r="B91" i="15"/>
  <c r="Z90" i="15"/>
  <c r="X90" i="15"/>
  <c r="N90" i="15"/>
  <c r="L90" i="15"/>
  <c r="B90" i="15"/>
  <c r="Z89" i="15"/>
  <c r="X89" i="15"/>
  <c r="N89" i="15"/>
  <c r="L89" i="15"/>
  <c r="B89" i="15"/>
  <c r="X88" i="15"/>
  <c r="Z88" i="15" s="1"/>
  <c r="N88" i="15"/>
  <c r="L88" i="15"/>
  <c r="B88" i="15"/>
  <c r="X87" i="15"/>
  <c r="Z87" i="15" s="1"/>
  <c r="L87" i="15"/>
  <c r="N87" i="15" s="1"/>
  <c r="B87" i="15"/>
  <c r="Z86" i="15"/>
  <c r="X86" i="15"/>
  <c r="N86" i="15"/>
  <c r="L86" i="15"/>
  <c r="B86" i="15"/>
  <c r="X85" i="15"/>
  <c r="Z85" i="15" s="1"/>
  <c r="L85" i="15"/>
  <c r="N85" i="15" s="1"/>
  <c r="B85" i="15"/>
  <c r="Z84" i="15"/>
  <c r="X84" i="15"/>
  <c r="N84" i="15"/>
  <c r="L84" i="15"/>
  <c r="B84" i="15"/>
  <c r="Z83" i="15"/>
  <c r="X83" i="15"/>
  <c r="N83" i="15"/>
  <c r="L83" i="15"/>
  <c r="B83" i="15"/>
  <c r="Z82" i="15"/>
  <c r="X82" i="15"/>
  <c r="N82" i="15"/>
  <c r="L82" i="15"/>
  <c r="B82" i="15"/>
  <c r="Z81" i="15"/>
  <c r="X81" i="15"/>
  <c r="N81" i="15"/>
  <c r="L81" i="15"/>
  <c r="B81" i="15"/>
  <c r="X80" i="15"/>
  <c r="Z80" i="15" s="1"/>
  <c r="N80" i="15"/>
  <c r="L80" i="15"/>
  <c r="B80" i="15"/>
  <c r="Z79" i="15"/>
  <c r="X79" i="15"/>
  <c r="N79" i="15"/>
  <c r="L79" i="15"/>
  <c r="B79" i="15"/>
  <c r="Z78" i="15"/>
  <c r="X78" i="15"/>
  <c r="N78" i="15"/>
  <c r="L78" i="15"/>
  <c r="B78" i="15"/>
  <c r="X77" i="15"/>
  <c r="Z77" i="15" s="1"/>
  <c r="L77" i="15"/>
  <c r="N77" i="15" s="1"/>
  <c r="B77" i="15"/>
  <c r="Z76" i="15"/>
  <c r="X76" i="15"/>
  <c r="L76" i="15"/>
  <c r="N76" i="15" s="1"/>
  <c r="B76" i="15"/>
  <c r="X75" i="15"/>
  <c r="Z75" i="15" s="1"/>
  <c r="L75" i="15"/>
  <c r="N75" i="15" s="1"/>
  <c r="B75" i="15"/>
  <c r="Z74" i="15"/>
  <c r="X74" i="15"/>
  <c r="N74" i="15"/>
  <c r="L74" i="15"/>
  <c r="B74" i="15"/>
  <c r="T73" i="15"/>
  <c r="P73" i="15"/>
  <c r="H73" i="15"/>
  <c r="D73" i="15"/>
  <c r="X71" i="15"/>
  <c r="T71" i="15"/>
  <c r="Z71" i="15" s="1"/>
  <c r="P71" i="15"/>
  <c r="H71" i="15"/>
  <c r="D71" i="15"/>
  <c r="L71" i="15" s="1"/>
  <c r="B71" i="15"/>
  <c r="T70" i="15"/>
  <c r="P70" i="15"/>
  <c r="X70" i="15" s="1"/>
  <c r="Z70" i="15" s="1"/>
  <c r="H70" i="15"/>
  <c r="N70" i="15" s="1"/>
  <c r="D70" i="15"/>
  <c r="B70" i="15"/>
  <c r="T69" i="15"/>
  <c r="P69" i="15"/>
  <c r="X69" i="15" s="1"/>
  <c r="Z69" i="15" s="1"/>
  <c r="N69" i="15"/>
  <c r="L69" i="15"/>
  <c r="H69" i="15"/>
  <c r="D69" i="15"/>
  <c r="B69" i="15"/>
  <c r="T68" i="15"/>
  <c r="P68" i="15"/>
  <c r="N68" i="15"/>
  <c r="H68" i="15"/>
  <c r="D68" i="15"/>
  <c r="L68" i="15" s="1"/>
  <c r="B68" i="15"/>
  <c r="T67" i="15"/>
  <c r="P67" i="15"/>
  <c r="X67" i="15" s="1"/>
  <c r="L67" i="15"/>
  <c r="H67" i="15"/>
  <c r="N67" i="15" s="1"/>
  <c r="D67" i="15"/>
  <c r="B67" i="15"/>
  <c r="T66" i="15"/>
  <c r="P66" i="15"/>
  <c r="H66" i="15"/>
  <c r="D66" i="15"/>
  <c r="L66" i="15" s="1"/>
  <c r="N66" i="15" s="1"/>
  <c r="B66" i="15"/>
  <c r="Z65" i="15"/>
  <c r="T65" i="15"/>
  <c r="P65" i="15"/>
  <c r="X65" i="15" s="1"/>
  <c r="N65" i="15"/>
  <c r="H65" i="15"/>
  <c r="D65" i="15"/>
  <c r="L65" i="15" s="1"/>
  <c r="B65" i="15"/>
  <c r="T64" i="15"/>
  <c r="Z64" i="15" s="1"/>
  <c r="P64" i="15"/>
  <c r="X64" i="15" s="1"/>
  <c r="H64" i="15"/>
  <c r="D64" i="15"/>
  <c r="B64" i="15"/>
  <c r="X63" i="15"/>
  <c r="T63" i="15"/>
  <c r="P63" i="15"/>
  <c r="H63" i="15"/>
  <c r="D63" i="15"/>
  <c r="L63" i="15" s="1"/>
  <c r="B63" i="15"/>
  <c r="Z62" i="15"/>
  <c r="T62" i="15"/>
  <c r="X62" i="15" s="1"/>
  <c r="P62" i="15"/>
  <c r="H62" i="15"/>
  <c r="D62" i="15"/>
  <c r="B62" i="15"/>
  <c r="T61" i="15"/>
  <c r="P61" i="15"/>
  <c r="X61" i="15" s="1"/>
  <c r="Z61" i="15" s="1"/>
  <c r="H61" i="15"/>
  <c r="D61" i="15"/>
  <c r="L61" i="15" s="1"/>
  <c r="N61" i="15" s="1"/>
  <c r="B61" i="15"/>
  <c r="T60" i="15"/>
  <c r="P60" i="15"/>
  <c r="H60" i="15"/>
  <c r="N60" i="15" s="1"/>
  <c r="D60" i="15"/>
  <c r="L60" i="15" s="1"/>
  <c r="B60" i="15"/>
  <c r="X59" i="15"/>
  <c r="T59" i="15"/>
  <c r="P59" i="15"/>
  <c r="L59" i="15"/>
  <c r="H59" i="15"/>
  <c r="D59" i="15"/>
  <c r="B59" i="15"/>
  <c r="X58" i="15"/>
  <c r="Z58" i="15" s="1"/>
  <c r="T58" i="15"/>
  <c r="P58" i="15"/>
  <c r="N58" i="15"/>
  <c r="H58" i="15"/>
  <c r="L58" i="15" s="1"/>
  <c r="D58" i="15"/>
  <c r="B58" i="15"/>
  <c r="X57" i="15"/>
  <c r="Z57" i="15" s="1"/>
  <c r="T57" i="15"/>
  <c r="P57" i="15"/>
  <c r="L57" i="15"/>
  <c r="N57" i="15" s="1"/>
  <c r="H57" i="15"/>
  <c r="D57" i="15"/>
  <c r="B57" i="15"/>
  <c r="T56" i="15"/>
  <c r="P56" i="15"/>
  <c r="H56" i="15"/>
  <c r="N56" i="15" s="1"/>
  <c r="D56" i="15"/>
  <c r="B56" i="15"/>
  <c r="T55" i="15"/>
  <c r="P55" i="15"/>
  <c r="X55" i="15" s="1"/>
  <c r="H55" i="15"/>
  <c r="D55" i="15"/>
  <c r="L55" i="15" s="1"/>
  <c r="B55" i="15"/>
  <c r="T54" i="15"/>
  <c r="X54" i="15" s="1"/>
  <c r="P54" i="15"/>
  <c r="N54" i="15"/>
  <c r="H54" i="15"/>
  <c r="L54" i="15" s="1"/>
  <c r="D54" i="15"/>
  <c r="B54" i="15"/>
  <c r="T53" i="15"/>
  <c r="P53" i="15"/>
  <c r="X53" i="15" s="1"/>
  <c r="Z53" i="15" s="1"/>
  <c r="N53" i="15"/>
  <c r="H53" i="15"/>
  <c r="D53" i="15"/>
  <c r="L53" i="15" s="1"/>
  <c r="B53" i="15"/>
  <c r="T52" i="15"/>
  <c r="Z52" i="15" s="1"/>
  <c r="P52" i="15"/>
  <c r="X52" i="15" s="1"/>
  <c r="N52" i="15"/>
  <c r="H52" i="15"/>
  <c r="D52" i="15"/>
  <c r="L52" i="15" s="1"/>
  <c r="B52" i="15"/>
  <c r="T51" i="15"/>
  <c r="P51" i="15"/>
  <c r="X51" i="15" s="1"/>
  <c r="L51" i="15"/>
  <c r="H51" i="15"/>
  <c r="N51" i="15" s="1"/>
  <c r="D51" i="15"/>
  <c r="B51" i="15"/>
  <c r="T50" i="15"/>
  <c r="X50" i="15" s="1"/>
  <c r="Z50" i="15" s="1"/>
  <c r="P50" i="15"/>
  <c r="H50" i="15"/>
  <c r="D50" i="15"/>
  <c r="B50" i="15"/>
  <c r="T49" i="15"/>
  <c r="P49" i="15"/>
  <c r="X49" i="15" s="1"/>
  <c r="Z49" i="15" s="1"/>
  <c r="L49" i="15"/>
  <c r="N49" i="15" s="1"/>
  <c r="H49" i="15"/>
  <c r="D49" i="15"/>
  <c r="B49" i="15"/>
  <c r="Z48" i="15"/>
  <c r="T48" i="15"/>
  <c r="P48" i="15"/>
  <c r="X48" i="15" s="1"/>
  <c r="H48" i="15"/>
  <c r="N48" i="15" s="1"/>
  <c r="D48" i="15"/>
  <c r="L48" i="15" s="1"/>
  <c r="B48" i="15"/>
  <c r="X47" i="15"/>
  <c r="T47" i="15"/>
  <c r="Z47" i="15" s="1"/>
  <c r="P47" i="15"/>
  <c r="H47" i="15"/>
  <c r="D47" i="15"/>
  <c r="L47" i="15" s="1"/>
  <c r="B47" i="15"/>
  <c r="T46" i="15"/>
  <c r="X46" i="15" s="1"/>
  <c r="P46" i="15"/>
  <c r="H46" i="15"/>
  <c r="D46" i="15"/>
  <c r="B46" i="15"/>
  <c r="T45" i="15"/>
  <c r="P45" i="15"/>
  <c r="X45" i="15" s="1"/>
  <c r="Z45" i="15" s="1"/>
  <c r="H45" i="15"/>
  <c r="D45" i="15"/>
  <c r="L45" i="15" s="1"/>
  <c r="N45" i="15" s="1"/>
  <c r="B45" i="15"/>
  <c r="T44" i="15"/>
  <c r="P44" i="15"/>
  <c r="H44" i="15"/>
  <c r="N44" i="15" s="1"/>
  <c r="D44" i="15"/>
  <c r="L44" i="15" s="1"/>
  <c r="B44" i="15"/>
  <c r="X43" i="15"/>
  <c r="T43" i="15"/>
  <c r="P43" i="15"/>
  <c r="L43" i="15"/>
  <c r="H43" i="15"/>
  <c r="N43" i="15" s="1"/>
  <c r="D43" i="15"/>
  <c r="B43" i="15"/>
  <c r="X42" i="15"/>
  <c r="Z42" i="15" s="1"/>
  <c r="T42" i="15"/>
  <c r="P42" i="15"/>
  <c r="N42" i="15"/>
  <c r="H42" i="15"/>
  <c r="L42" i="15" s="1"/>
  <c r="D42" i="15"/>
  <c r="B42" i="15"/>
  <c r="X41" i="15"/>
  <c r="Z41" i="15" s="1"/>
  <c r="T41" i="15"/>
  <c r="P41" i="15"/>
  <c r="L41" i="15"/>
  <c r="N41" i="15" s="1"/>
  <c r="H41" i="15"/>
  <c r="D41" i="15"/>
  <c r="B41" i="15"/>
  <c r="T40" i="15"/>
  <c r="P40" i="15"/>
  <c r="H40" i="15"/>
  <c r="N40" i="15" s="1"/>
  <c r="D40" i="15"/>
  <c r="B40" i="15"/>
  <c r="T39" i="15"/>
  <c r="P39" i="15"/>
  <c r="X39" i="15" s="1"/>
  <c r="H39" i="15"/>
  <c r="D39" i="15"/>
  <c r="L39" i="15" s="1"/>
  <c r="B39" i="15"/>
  <c r="T38" i="15"/>
  <c r="X38" i="15" s="1"/>
  <c r="P38" i="15"/>
  <c r="H38" i="15"/>
  <c r="L38" i="15" s="1"/>
  <c r="N38" i="15" s="1"/>
  <c r="D38" i="15"/>
  <c r="B38" i="15"/>
  <c r="T37" i="15"/>
  <c r="P37" i="15"/>
  <c r="X37" i="15" s="1"/>
  <c r="Z37" i="15" s="1"/>
  <c r="N37" i="15"/>
  <c r="H37" i="15"/>
  <c r="D37" i="15"/>
  <c r="L37" i="15" s="1"/>
  <c r="B37" i="15"/>
  <c r="T36" i="15"/>
  <c r="Z36" i="15" s="1"/>
  <c r="P36" i="15"/>
  <c r="X36" i="15" s="1"/>
  <c r="N36" i="15"/>
  <c r="H36" i="15"/>
  <c r="D36" i="15"/>
  <c r="L36" i="15" s="1"/>
  <c r="B36" i="15"/>
  <c r="T35" i="15"/>
  <c r="P35" i="15"/>
  <c r="X35" i="15" s="1"/>
  <c r="H35" i="15"/>
  <c r="D35" i="15"/>
  <c r="B35" i="15"/>
  <c r="T34" i="15"/>
  <c r="X34" i="15" s="1"/>
  <c r="Z34" i="15" s="1"/>
  <c r="P34" i="15"/>
  <c r="L34" i="15"/>
  <c r="N34" i="15" s="1"/>
  <c r="H34" i="15"/>
  <c r="D34" i="15"/>
  <c r="B34" i="15"/>
  <c r="T33" i="15"/>
  <c r="P33" i="15"/>
  <c r="X33" i="15" s="1"/>
  <c r="Z33" i="15" s="1"/>
  <c r="H33" i="15"/>
  <c r="D33" i="15"/>
  <c r="L33" i="15" s="1"/>
  <c r="N33" i="15" s="1"/>
  <c r="B33" i="15"/>
  <c r="T32" i="15"/>
  <c r="Z32" i="15" s="1"/>
  <c r="P32" i="15"/>
  <c r="X32" i="15" s="1"/>
  <c r="N32" i="15"/>
  <c r="H32" i="15"/>
  <c r="D32" i="15"/>
  <c r="L32" i="15" s="1"/>
  <c r="B32" i="15"/>
  <c r="T31" i="15"/>
  <c r="P31" i="15"/>
  <c r="X31" i="15" s="1"/>
  <c r="L31" i="15"/>
  <c r="N31" i="15" s="1"/>
  <c r="H31" i="15"/>
  <c r="D31" i="15"/>
  <c r="B31" i="15"/>
  <c r="T30" i="15"/>
  <c r="P30" i="15"/>
  <c r="X30" i="15" s="1"/>
  <c r="N30" i="15"/>
  <c r="H30" i="15"/>
  <c r="D30" i="15"/>
  <c r="L30" i="15" s="1"/>
  <c r="B30" i="15"/>
  <c r="T29" i="15"/>
  <c r="Z29" i="15" s="1"/>
  <c r="P29" i="15"/>
  <c r="X29" i="15" s="1"/>
  <c r="H29" i="15"/>
  <c r="D29" i="15"/>
  <c r="B29" i="15"/>
  <c r="T28" i="15"/>
  <c r="P28" i="15"/>
  <c r="L28" i="15"/>
  <c r="N28" i="15" s="1"/>
  <c r="H28" i="15"/>
  <c r="D28" i="15"/>
  <c r="B28" i="15"/>
  <c r="X27" i="15"/>
  <c r="Z27" i="15" s="1"/>
  <c r="T27" i="15"/>
  <c r="P27" i="15"/>
  <c r="H27" i="15"/>
  <c r="D27" i="15"/>
  <c r="L27" i="15" s="1"/>
  <c r="N27" i="15" s="1"/>
  <c r="B27" i="15"/>
  <c r="T26" i="15"/>
  <c r="P26" i="15"/>
  <c r="X26" i="15" s="1"/>
  <c r="Z26" i="15" s="1"/>
  <c r="H26" i="15"/>
  <c r="N26" i="15" s="1"/>
  <c r="D26" i="15"/>
  <c r="L26" i="15" s="1"/>
  <c r="B26" i="15"/>
  <c r="T25" i="15"/>
  <c r="P25" i="15"/>
  <c r="H25" i="15"/>
  <c r="N25" i="15" s="1"/>
  <c r="D25" i="15"/>
  <c r="L25" i="15" s="1"/>
  <c r="B25" i="15"/>
  <c r="X24" i="15"/>
  <c r="Z24" i="15" s="1"/>
  <c r="T24" i="15"/>
  <c r="P24" i="15"/>
  <c r="H24" i="15"/>
  <c r="D24" i="15"/>
  <c r="B24" i="15"/>
  <c r="T23" i="15"/>
  <c r="P23" i="15"/>
  <c r="X23" i="15" s="1"/>
  <c r="Z23" i="15" s="1"/>
  <c r="L23" i="15"/>
  <c r="N23" i="15" s="1"/>
  <c r="H23" i="15"/>
  <c r="D23" i="15"/>
  <c r="B23" i="15"/>
  <c r="T22" i="15"/>
  <c r="Z22" i="15" s="1"/>
  <c r="P22" i="15"/>
  <c r="X22" i="15" s="1"/>
  <c r="H22" i="15"/>
  <c r="D22" i="15"/>
  <c r="L22" i="15" s="1"/>
  <c r="N22" i="15" s="1"/>
  <c r="B22" i="15"/>
  <c r="T21" i="15"/>
  <c r="Z21" i="15" s="1"/>
  <c r="P21" i="15"/>
  <c r="X21" i="15" s="1"/>
  <c r="H21" i="15"/>
  <c r="N21" i="15" s="1"/>
  <c r="D21" i="15"/>
  <c r="B21" i="15"/>
  <c r="T20" i="15"/>
  <c r="P20" i="15"/>
  <c r="L20" i="15"/>
  <c r="N20" i="15" s="1"/>
  <c r="H20" i="15"/>
  <c r="D20" i="15"/>
  <c r="B20" i="15"/>
  <c r="X19" i="15"/>
  <c r="Z19" i="15" s="1"/>
  <c r="T19" i="15"/>
  <c r="P19" i="15"/>
  <c r="H19" i="15"/>
  <c r="D19" i="15"/>
  <c r="L19" i="15" s="1"/>
  <c r="N19" i="15" s="1"/>
  <c r="B19" i="15"/>
  <c r="Z18" i="15"/>
  <c r="T18" i="15"/>
  <c r="P18" i="15"/>
  <c r="X18" i="15" s="1"/>
  <c r="H18" i="15"/>
  <c r="D18" i="15"/>
  <c r="L18" i="15" s="1"/>
  <c r="B18" i="15"/>
  <c r="T17" i="15"/>
  <c r="P17" i="15"/>
  <c r="H17" i="15"/>
  <c r="N17" i="15" s="1"/>
  <c r="D17" i="15"/>
  <c r="L17" i="15" s="1"/>
  <c r="B17" i="15"/>
  <c r="X16" i="15"/>
  <c r="Z16" i="15" s="1"/>
  <c r="T16" i="15"/>
  <c r="P16" i="15"/>
  <c r="H16" i="15"/>
  <c r="D16" i="15"/>
  <c r="B16" i="15"/>
  <c r="T15" i="15"/>
  <c r="P15" i="15"/>
  <c r="X15" i="15" s="1"/>
  <c r="Z15" i="15" s="1"/>
  <c r="L15" i="15"/>
  <c r="N15" i="15" s="1"/>
  <c r="H15" i="15"/>
  <c r="D15" i="15"/>
  <c r="B15" i="15"/>
  <c r="T14" i="15"/>
  <c r="Z14" i="15" s="1"/>
  <c r="P14" i="15"/>
  <c r="X14" i="15" s="1"/>
  <c r="H14" i="15"/>
  <c r="D14" i="15"/>
  <c r="L14" i="15" s="1"/>
  <c r="N14" i="15" s="1"/>
  <c r="B14" i="15"/>
  <c r="T13" i="15"/>
  <c r="P13" i="15"/>
  <c r="H13" i="15"/>
  <c r="D13" i="15"/>
  <c r="B13" i="15"/>
  <c r="D4" i="15"/>
  <c r="B39" i="14"/>
  <c r="B38" i="14"/>
  <c r="T34" i="14"/>
  <c r="Z34" i="14" s="1"/>
  <c r="P34" i="14"/>
  <c r="H34" i="14"/>
  <c r="N34" i="14" s="1"/>
  <c r="D34" i="14"/>
  <c r="T33" i="14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P12" i="14"/>
  <c r="R21" i="14" s="1"/>
  <c r="H12" i="14"/>
  <c r="J20" i="14" s="1"/>
  <c r="D12" i="14"/>
  <c r="F15" i="14" s="1"/>
  <c r="D5" i="14"/>
  <c r="D4" i="14"/>
  <c r="B39" i="13"/>
  <c r="B38" i="13"/>
  <c r="T34" i="13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D15" i="13"/>
  <c r="T13" i="13"/>
  <c r="P13" i="13"/>
  <c r="H13" i="13"/>
  <c r="N13" i="13" s="1"/>
  <c r="D13" i="13"/>
  <c r="B13" i="13"/>
  <c r="T12" i="13"/>
  <c r="V20" i="13" s="1"/>
  <c r="P12" i="13"/>
  <c r="R20" i="13" s="1"/>
  <c r="H12" i="13"/>
  <c r="N12" i="13" s="1"/>
  <c r="D12" i="13"/>
  <c r="F16" i="13" s="1"/>
  <c r="D5" i="13"/>
  <c r="D4" i="13"/>
  <c r="X208" i="12"/>
  <c r="Z208" i="12" s="1"/>
  <c r="L208" i="12"/>
  <c r="N208" i="12" s="1"/>
  <c r="T204" i="12"/>
  <c r="P204" i="12"/>
  <c r="X204" i="12" s="1"/>
  <c r="N204" i="12"/>
  <c r="H204" i="12"/>
  <c r="D204" i="12"/>
  <c r="L204" i="12" s="1"/>
  <c r="B204" i="12"/>
  <c r="T203" i="12"/>
  <c r="P203" i="12"/>
  <c r="X203" i="12" s="1"/>
  <c r="Z203" i="12" s="1"/>
  <c r="H203" i="12"/>
  <c r="D203" i="12"/>
  <c r="L203" i="12" s="1"/>
  <c r="N203" i="12" s="1"/>
  <c r="B203" i="12"/>
  <c r="Z202" i="12"/>
  <c r="X202" i="12"/>
  <c r="T202" i="12"/>
  <c r="P202" i="12"/>
  <c r="H202" i="12"/>
  <c r="D202" i="12"/>
  <c r="L202" i="12" s="1"/>
  <c r="B202" i="12"/>
  <c r="T201" i="12"/>
  <c r="P201" i="12"/>
  <c r="X201" i="12" s="1"/>
  <c r="H201" i="12"/>
  <c r="D201" i="12"/>
  <c r="L201" i="12" s="1"/>
  <c r="N201" i="12" s="1"/>
  <c r="B201" i="12"/>
  <c r="X198" i="12"/>
  <c r="Z198" i="12" s="1"/>
  <c r="L198" i="12"/>
  <c r="N198" i="12" s="1"/>
  <c r="B198" i="12"/>
  <c r="X197" i="12"/>
  <c r="Z197" i="12" s="1"/>
  <c r="T197" i="12"/>
  <c r="P197" i="12"/>
  <c r="H197" i="12"/>
  <c r="N197" i="12" s="1"/>
  <c r="D197" i="12"/>
  <c r="L197" i="12" s="1"/>
  <c r="B197" i="12"/>
  <c r="Z196" i="12"/>
  <c r="X196" i="12"/>
  <c r="N196" i="12"/>
  <c r="L196" i="12"/>
  <c r="B196" i="12"/>
  <c r="X195" i="12"/>
  <c r="Z195" i="12" s="1"/>
  <c r="N195" i="12"/>
  <c r="L195" i="12"/>
  <c r="B195" i="12"/>
  <c r="X194" i="12"/>
  <c r="Z194" i="12" s="1"/>
  <c r="N194" i="12"/>
  <c r="L194" i="12"/>
  <c r="B194" i="12"/>
  <c r="X193" i="12"/>
  <c r="Z193" i="12" s="1"/>
  <c r="T193" i="12"/>
  <c r="P193" i="12"/>
  <c r="H193" i="12"/>
  <c r="D193" i="12"/>
  <c r="L193" i="12" s="1"/>
  <c r="B193" i="12"/>
  <c r="Z192" i="12"/>
  <c r="X192" i="12"/>
  <c r="N192" i="12"/>
  <c r="L192" i="12"/>
  <c r="B192" i="12"/>
  <c r="T191" i="12"/>
  <c r="Z191" i="12" s="1"/>
  <c r="P191" i="12"/>
  <c r="X191" i="12" s="1"/>
  <c r="N191" i="12"/>
  <c r="H191" i="12"/>
  <c r="D191" i="12"/>
  <c r="L191" i="12" s="1"/>
  <c r="B191" i="12"/>
  <c r="X190" i="12"/>
  <c r="Z190" i="12" s="1"/>
  <c r="L190" i="12"/>
  <c r="N190" i="12" s="1"/>
  <c r="B190" i="12"/>
  <c r="X189" i="12"/>
  <c r="Z189" i="12" s="1"/>
  <c r="N189" i="12"/>
  <c r="L189" i="12"/>
  <c r="B189" i="12"/>
  <c r="T188" i="12"/>
  <c r="P188" i="12"/>
  <c r="X188" i="12" s="1"/>
  <c r="Z188" i="12" s="1"/>
  <c r="L188" i="12"/>
  <c r="N188" i="12" s="1"/>
  <c r="H188" i="12"/>
  <c r="D188" i="12"/>
  <c r="B188" i="12"/>
  <c r="Z187" i="12"/>
  <c r="X187" i="12"/>
  <c r="L187" i="12"/>
  <c r="N187" i="12" s="1"/>
  <c r="B187" i="12"/>
  <c r="X186" i="12"/>
  <c r="Z186" i="12" s="1"/>
  <c r="L186" i="12"/>
  <c r="N186" i="12" s="1"/>
  <c r="B186" i="12"/>
  <c r="X185" i="12"/>
  <c r="Z185" i="12" s="1"/>
  <c r="L185" i="12"/>
  <c r="N185" i="12" s="1"/>
  <c r="B185" i="12"/>
  <c r="Z184" i="12"/>
  <c r="X184" i="12"/>
  <c r="L184" i="12"/>
  <c r="N184" i="12" s="1"/>
  <c r="B184" i="12"/>
  <c r="X183" i="12"/>
  <c r="Z183" i="12" s="1"/>
  <c r="N183" i="12"/>
  <c r="L183" i="12"/>
  <c r="B183" i="12"/>
  <c r="X182" i="12"/>
  <c r="Z182" i="12" s="1"/>
  <c r="L182" i="12"/>
  <c r="N182" i="12" s="1"/>
  <c r="B182" i="12"/>
  <c r="X181" i="12"/>
  <c r="Z181" i="12" s="1"/>
  <c r="T181" i="12"/>
  <c r="P181" i="12"/>
  <c r="H181" i="12"/>
  <c r="D181" i="12"/>
  <c r="L181" i="12" s="1"/>
  <c r="B181" i="12"/>
  <c r="Z180" i="12"/>
  <c r="X180" i="12"/>
  <c r="N180" i="12"/>
  <c r="L180" i="12"/>
  <c r="B180" i="12"/>
  <c r="X179" i="12"/>
  <c r="Z179" i="12" s="1"/>
  <c r="N179" i="12"/>
  <c r="L179" i="12"/>
  <c r="B179" i="12"/>
  <c r="T178" i="12"/>
  <c r="P178" i="12"/>
  <c r="X178" i="12" s="1"/>
  <c r="H178" i="12"/>
  <c r="D178" i="12"/>
  <c r="L178" i="12" s="1"/>
  <c r="N178" i="12" s="1"/>
  <c r="B178" i="12"/>
  <c r="Z177" i="12"/>
  <c r="X177" i="12"/>
  <c r="N177" i="12"/>
  <c r="L177" i="12"/>
  <c r="B177" i="12"/>
  <c r="Z176" i="12"/>
  <c r="X176" i="12"/>
  <c r="L176" i="12"/>
  <c r="N176" i="12" s="1"/>
  <c r="B176" i="12"/>
  <c r="X175" i="12"/>
  <c r="Z175" i="12" s="1"/>
  <c r="N175" i="12"/>
  <c r="L175" i="12"/>
  <c r="B175" i="12"/>
  <c r="X174" i="12"/>
  <c r="Z174" i="12" s="1"/>
  <c r="N174" i="12"/>
  <c r="L174" i="12"/>
  <c r="B174" i="12"/>
  <c r="X173" i="12"/>
  <c r="Z173" i="12" s="1"/>
  <c r="L173" i="12"/>
  <c r="N173" i="12" s="1"/>
  <c r="B173" i="12"/>
  <c r="X172" i="12"/>
  <c r="Z172" i="12" s="1"/>
  <c r="T172" i="12"/>
  <c r="P172" i="12"/>
  <c r="H172" i="12"/>
  <c r="D172" i="12"/>
  <c r="L172" i="12" s="1"/>
  <c r="B172" i="12"/>
  <c r="X171" i="12"/>
  <c r="Z171" i="12" s="1"/>
  <c r="N171" i="12"/>
  <c r="L171" i="12"/>
  <c r="B171" i="12"/>
  <c r="Z170" i="12"/>
  <c r="X170" i="12"/>
  <c r="N170" i="12"/>
  <c r="L170" i="12"/>
  <c r="B170" i="12"/>
  <c r="X169" i="12"/>
  <c r="Z169" i="12" s="1"/>
  <c r="L169" i="12"/>
  <c r="N169" i="12" s="1"/>
  <c r="B169" i="12"/>
  <c r="X168" i="12"/>
  <c r="Z168" i="12" s="1"/>
  <c r="T168" i="12"/>
  <c r="P168" i="12"/>
  <c r="H168" i="12"/>
  <c r="D168" i="12"/>
  <c r="L168" i="12" s="1"/>
  <c r="B168" i="12"/>
  <c r="X167" i="12"/>
  <c r="Z167" i="12" s="1"/>
  <c r="N167" i="12"/>
  <c r="L167" i="12"/>
  <c r="B167" i="12"/>
  <c r="X166" i="12"/>
  <c r="Z166" i="12" s="1"/>
  <c r="L166" i="12"/>
  <c r="N166" i="12" s="1"/>
  <c r="B166" i="12"/>
  <c r="X165" i="12"/>
  <c r="Z165" i="12" s="1"/>
  <c r="L165" i="12"/>
  <c r="N165" i="12" s="1"/>
  <c r="B165" i="12"/>
  <c r="X164" i="12"/>
  <c r="Z164" i="12" s="1"/>
  <c r="N164" i="12"/>
  <c r="L164" i="12"/>
  <c r="B164" i="12"/>
  <c r="T163" i="12"/>
  <c r="P163" i="12"/>
  <c r="X163" i="12" s="1"/>
  <c r="Z163" i="12" s="1"/>
  <c r="H163" i="12"/>
  <c r="D163" i="12"/>
  <c r="L163" i="12" s="1"/>
  <c r="N163" i="12" s="1"/>
  <c r="B163" i="12"/>
  <c r="X162" i="12"/>
  <c r="Z162" i="12" s="1"/>
  <c r="L162" i="12"/>
  <c r="N162" i="12" s="1"/>
  <c r="B162" i="12"/>
  <c r="T161" i="12"/>
  <c r="P161" i="12"/>
  <c r="X161" i="12" s="1"/>
  <c r="Z161" i="12" s="1"/>
  <c r="H161" i="12"/>
  <c r="N161" i="12" s="1"/>
  <c r="D161" i="12"/>
  <c r="L161" i="12" s="1"/>
  <c r="B161" i="12"/>
  <c r="Z160" i="12"/>
  <c r="X160" i="12"/>
  <c r="N160" i="12"/>
  <c r="L160" i="12"/>
  <c r="B160" i="12"/>
  <c r="X159" i="12"/>
  <c r="Z159" i="12" s="1"/>
  <c r="N159" i="12"/>
  <c r="L159" i="12"/>
  <c r="B159" i="12"/>
  <c r="T158" i="12"/>
  <c r="P158" i="12"/>
  <c r="X158" i="12" s="1"/>
  <c r="H158" i="12"/>
  <c r="D158" i="12"/>
  <c r="L158" i="12" s="1"/>
  <c r="N158" i="12" s="1"/>
  <c r="B158" i="12"/>
  <c r="X157" i="12"/>
  <c r="Z157" i="12" s="1"/>
  <c r="L157" i="12"/>
  <c r="N157" i="12" s="1"/>
  <c r="B157" i="12"/>
  <c r="T156" i="12"/>
  <c r="P156" i="12"/>
  <c r="X156" i="12" s="1"/>
  <c r="Z156" i="12" s="1"/>
  <c r="L156" i="12"/>
  <c r="N156" i="12" s="1"/>
  <c r="H156" i="12"/>
  <c r="D156" i="12"/>
  <c r="B156" i="12"/>
  <c r="Z155" i="12"/>
  <c r="X155" i="12"/>
  <c r="L155" i="12"/>
  <c r="N155" i="12" s="1"/>
  <c r="B155" i="12"/>
  <c r="X154" i="12"/>
  <c r="Z154" i="12" s="1"/>
  <c r="T154" i="12"/>
  <c r="P154" i="12"/>
  <c r="L154" i="12"/>
  <c r="N154" i="12" s="1"/>
  <c r="H154" i="12"/>
  <c r="D154" i="12"/>
  <c r="B154" i="12"/>
  <c r="X153" i="12"/>
  <c r="Z153" i="12" s="1"/>
  <c r="L153" i="12"/>
  <c r="N153" i="12" s="1"/>
  <c r="B153" i="12"/>
  <c r="X152" i="12"/>
  <c r="Z152" i="12" s="1"/>
  <c r="T152" i="12"/>
  <c r="P152" i="12"/>
  <c r="H152" i="12"/>
  <c r="D152" i="12"/>
  <c r="B152" i="12"/>
  <c r="X151" i="12"/>
  <c r="Z151" i="12" s="1"/>
  <c r="N151" i="12"/>
  <c r="L151" i="12"/>
  <c r="B151" i="12"/>
  <c r="X150" i="12"/>
  <c r="Z150" i="12" s="1"/>
  <c r="L150" i="12"/>
  <c r="N150" i="12" s="1"/>
  <c r="B150" i="12"/>
  <c r="T149" i="12"/>
  <c r="P149" i="12"/>
  <c r="X149" i="12" s="1"/>
  <c r="Z149" i="12" s="1"/>
  <c r="H149" i="12"/>
  <c r="D149" i="12"/>
  <c r="B149" i="12"/>
  <c r="Z148" i="12"/>
  <c r="X148" i="12"/>
  <c r="L148" i="12"/>
  <c r="N148" i="12" s="1"/>
  <c r="B148" i="12"/>
  <c r="T147" i="12"/>
  <c r="P147" i="12"/>
  <c r="L147" i="12"/>
  <c r="N147" i="12" s="1"/>
  <c r="H147" i="12"/>
  <c r="D147" i="12"/>
  <c r="B147" i="12"/>
  <c r="X146" i="12"/>
  <c r="Z146" i="12" s="1"/>
  <c r="N146" i="12"/>
  <c r="L146" i="12"/>
  <c r="B146" i="12"/>
  <c r="X145" i="12"/>
  <c r="Z145" i="12" s="1"/>
  <c r="T145" i="12"/>
  <c r="P145" i="12"/>
  <c r="N145" i="12"/>
  <c r="H145" i="12"/>
  <c r="D145" i="12"/>
  <c r="L145" i="12" s="1"/>
  <c r="B145" i="12"/>
  <c r="Z144" i="12"/>
  <c r="X144" i="12"/>
  <c r="N144" i="12"/>
  <c r="L144" i="12"/>
  <c r="B144" i="12"/>
  <c r="Z143" i="12"/>
  <c r="X143" i="12"/>
  <c r="N143" i="12"/>
  <c r="L143" i="12"/>
  <c r="B143" i="12"/>
  <c r="Z142" i="12"/>
  <c r="X142" i="12"/>
  <c r="T142" i="12"/>
  <c r="P142" i="12"/>
  <c r="N142" i="12"/>
  <c r="L142" i="12"/>
  <c r="H142" i="12"/>
  <c r="D142" i="12"/>
  <c r="B142" i="12"/>
  <c r="X141" i="12"/>
  <c r="Z141" i="12" s="1"/>
  <c r="L141" i="12"/>
  <c r="N141" i="12" s="1"/>
  <c r="B141" i="12"/>
  <c r="X140" i="12"/>
  <c r="Z140" i="12" s="1"/>
  <c r="N140" i="12"/>
  <c r="L140" i="12"/>
  <c r="B140" i="12"/>
  <c r="T139" i="12"/>
  <c r="P139" i="12"/>
  <c r="X139" i="12" s="1"/>
  <c r="Z139" i="12" s="1"/>
  <c r="H139" i="12"/>
  <c r="D139" i="12"/>
  <c r="L139" i="12" s="1"/>
  <c r="N139" i="12" s="1"/>
  <c r="B139" i="12"/>
  <c r="X138" i="12"/>
  <c r="Z138" i="12" s="1"/>
  <c r="L138" i="12"/>
  <c r="N138" i="12" s="1"/>
  <c r="B138" i="12"/>
  <c r="T137" i="12"/>
  <c r="P137" i="12"/>
  <c r="X137" i="12" s="1"/>
  <c r="Z137" i="12" s="1"/>
  <c r="H137" i="12"/>
  <c r="D137" i="12"/>
  <c r="B137" i="12"/>
  <c r="Z136" i="12"/>
  <c r="X136" i="12"/>
  <c r="L136" i="12"/>
  <c r="N136" i="12" s="1"/>
  <c r="B136" i="12"/>
  <c r="T135" i="12"/>
  <c r="P135" i="12"/>
  <c r="L135" i="12"/>
  <c r="N135" i="12" s="1"/>
  <c r="H135" i="12"/>
  <c r="D135" i="12"/>
  <c r="B135" i="12"/>
  <c r="X134" i="12"/>
  <c r="Z134" i="12" s="1"/>
  <c r="L134" i="12"/>
  <c r="N134" i="12" s="1"/>
  <c r="B134" i="12"/>
  <c r="X133" i="12"/>
  <c r="Z133" i="12" s="1"/>
  <c r="T133" i="12"/>
  <c r="P133" i="12"/>
  <c r="N133" i="12"/>
  <c r="H133" i="12"/>
  <c r="D133" i="12"/>
  <c r="L133" i="12" s="1"/>
  <c r="B133" i="12"/>
  <c r="X132" i="12"/>
  <c r="Z132" i="12" s="1"/>
  <c r="N132" i="12"/>
  <c r="L132" i="12"/>
  <c r="B132" i="12"/>
  <c r="Z131" i="12"/>
  <c r="X131" i="12"/>
  <c r="L131" i="12"/>
  <c r="N131" i="12" s="1"/>
  <c r="B131" i="12"/>
  <c r="X130" i="12"/>
  <c r="Z130" i="12" s="1"/>
  <c r="L130" i="12"/>
  <c r="N130" i="12" s="1"/>
  <c r="B130" i="12"/>
  <c r="X129" i="12"/>
  <c r="Z129" i="12" s="1"/>
  <c r="L129" i="12"/>
  <c r="N129" i="12" s="1"/>
  <c r="B129" i="12"/>
  <c r="Z128" i="12"/>
  <c r="X128" i="12"/>
  <c r="L128" i="12"/>
  <c r="N128" i="12" s="1"/>
  <c r="B128" i="12"/>
  <c r="X127" i="12"/>
  <c r="Z127" i="12" s="1"/>
  <c r="N127" i="12"/>
  <c r="L127" i="12"/>
  <c r="B127" i="12"/>
  <c r="X126" i="12"/>
  <c r="Z126" i="12" s="1"/>
  <c r="L126" i="12"/>
  <c r="N126" i="12" s="1"/>
  <c r="B126" i="12"/>
  <c r="T125" i="12"/>
  <c r="P125" i="12"/>
  <c r="X125" i="12" s="1"/>
  <c r="Z125" i="12" s="1"/>
  <c r="H125" i="12"/>
  <c r="D125" i="12"/>
  <c r="B125" i="12"/>
  <c r="Z124" i="12"/>
  <c r="X124" i="12"/>
  <c r="L124" i="12"/>
  <c r="N124" i="12" s="1"/>
  <c r="B124" i="12"/>
  <c r="X123" i="12"/>
  <c r="Z123" i="12" s="1"/>
  <c r="N123" i="12"/>
  <c r="L123" i="12"/>
  <c r="B123" i="12"/>
  <c r="X122" i="12"/>
  <c r="Z122" i="12" s="1"/>
  <c r="L122" i="12"/>
  <c r="N122" i="12" s="1"/>
  <c r="B122" i="12"/>
  <c r="X121" i="12"/>
  <c r="Z121" i="12" s="1"/>
  <c r="L121" i="12"/>
  <c r="N121" i="12" s="1"/>
  <c r="B121" i="12"/>
  <c r="Z120" i="12"/>
  <c r="X120" i="12"/>
  <c r="N120" i="12"/>
  <c r="L120" i="12"/>
  <c r="B120" i="12"/>
  <c r="Z119" i="12"/>
  <c r="X119" i="12"/>
  <c r="L119" i="12"/>
  <c r="N119" i="12" s="1"/>
  <c r="B119" i="12"/>
  <c r="X118" i="12"/>
  <c r="Z118" i="12" s="1"/>
  <c r="L118" i="12"/>
  <c r="N118" i="12" s="1"/>
  <c r="B118" i="12"/>
  <c r="X117" i="12"/>
  <c r="Z117" i="12" s="1"/>
  <c r="L117" i="12"/>
  <c r="N117" i="12" s="1"/>
  <c r="B117" i="12"/>
  <c r="Z116" i="12"/>
  <c r="X116" i="12"/>
  <c r="L116" i="12"/>
  <c r="N116" i="12" s="1"/>
  <c r="B116" i="12"/>
  <c r="X115" i="12"/>
  <c r="Z115" i="12" s="1"/>
  <c r="N115" i="12"/>
  <c r="L115" i="12"/>
  <c r="B115" i="12"/>
  <c r="T114" i="12"/>
  <c r="P114" i="12"/>
  <c r="H114" i="12"/>
  <c r="D114" i="12"/>
  <c r="L114" i="12" s="1"/>
  <c r="N114" i="12" s="1"/>
  <c r="B114" i="12"/>
  <c r="T113" i="12"/>
  <c r="P113" i="12"/>
  <c r="X113" i="12" s="1"/>
  <c r="N113" i="12"/>
  <c r="H113" i="12"/>
  <c r="D113" i="12"/>
  <c r="L113" i="12" s="1"/>
  <c r="Z109" i="12"/>
  <c r="X109" i="12"/>
  <c r="N109" i="12"/>
  <c r="L109" i="12"/>
  <c r="B109" i="12"/>
  <c r="Z108" i="12"/>
  <c r="X108" i="12"/>
  <c r="L108" i="12"/>
  <c r="N108" i="12" s="1"/>
  <c r="B108" i="12"/>
  <c r="Z107" i="12"/>
  <c r="X107" i="12"/>
  <c r="N107" i="12"/>
  <c r="L107" i="12"/>
  <c r="B107" i="12"/>
  <c r="Z106" i="12"/>
  <c r="X106" i="12"/>
  <c r="N106" i="12"/>
  <c r="L106" i="12"/>
  <c r="B106" i="12"/>
  <c r="X105" i="12"/>
  <c r="Z105" i="12" s="1"/>
  <c r="L105" i="12"/>
  <c r="N105" i="12" s="1"/>
  <c r="B105" i="12"/>
  <c r="X104" i="12"/>
  <c r="Z104" i="12" s="1"/>
  <c r="N104" i="12"/>
  <c r="L104" i="12"/>
  <c r="B104" i="12"/>
  <c r="Z103" i="12"/>
  <c r="X103" i="12"/>
  <c r="N103" i="12"/>
  <c r="L103" i="12"/>
  <c r="B103" i="12"/>
  <c r="Z102" i="12"/>
  <c r="X102" i="12"/>
  <c r="N102" i="12"/>
  <c r="L102" i="12"/>
  <c r="B102" i="12"/>
  <c r="Z101" i="12"/>
  <c r="X101" i="12"/>
  <c r="N101" i="12"/>
  <c r="L101" i="12"/>
  <c r="B101" i="12"/>
  <c r="Z100" i="12"/>
  <c r="X100" i="12"/>
  <c r="L100" i="12"/>
  <c r="N100" i="12" s="1"/>
  <c r="B100" i="12"/>
  <c r="X99" i="12"/>
  <c r="Z99" i="12" s="1"/>
  <c r="N99" i="12"/>
  <c r="L99" i="12"/>
  <c r="B99" i="12"/>
  <c r="Z98" i="12"/>
  <c r="X98" i="12"/>
  <c r="N98" i="12"/>
  <c r="L98" i="12"/>
  <c r="B98" i="12"/>
  <c r="X97" i="12"/>
  <c r="Z97" i="12" s="1"/>
  <c r="L97" i="12"/>
  <c r="N97" i="12" s="1"/>
  <c r="B97" i="12"/>
  <c r="X96" i="12"/>
  <c r="Z96" i="12" s="1"/>
  <c r="N96" i="12"/>
  <c r="L96" i="12"/>
  <c r="B96" i="12"/>
  <c r="Z95" i="12"/>
  <c r="X95" i="12"/>
  <c r="N95" i="12"/>
  <c r="L95" i="12"/>
  <c r="B95" i="12"/>
  <c r="X94" i="12"/>
  <c r="Z94" i="12" s="1"/>
  <c r="N94" i="12"/>
  <c r="L94" i="12"/>
  <c r="B94" i="12"/>
  <c r="X93" i="12"/>
  <c r="Z93" i="12" s="1"/>
  <c r="L93" i="12"/>
  <c r="N93" i="12" s="1"/>
  <c r="B93" i="12"/>
  <c r="Z92" i="12"/>
  <c r="X92" i="12"/>
  <c r="L92" i="12"/>
  <c r="N92" i="12" s="1"/>
  <c r="B92" i="12"/>
  <c r="Z91" i="12"/>
  <c r="X91" i="12"/>
  <c r="N91" i="12"/>
  <c r="L91" i="12"/>
  <c r="B91" i="12"/>
  <c r="Z90" i="12"/>
  <c r="X90" i="12"/>
  <c r="L90" i="12"/>
  <c r="N90" i="12" s="1"/>
  <c r="B90" i="12"/>
  <c r="X89" i="12"/>
  <c r="Z89" i="12" s="1"/>
  <c r="L89" i="12"/>
  <c r="N89" i="12" s="1"/>
  <c r="B89" i="12"/>
  <c r="X88" i="12"/>
  <c r="Z88" i="12" s="1"/>
  <c r="N88" i="12"/>
  <c r="L88" i="12"/>
  <c r="B88" i="12"/>
  <c r="Z87" i="12"/>
  <c r="X87" i="12"/>
  <c r="L87" i="12"/>
  <c r="N87" i="12" s="1"/>
  <c r="B87" i="12"/>
  <c r="Z86" i="12"/>
  <c r="X86" i="12"/>
  <c r="N86" i="12"/>
  <c r="L86" i="12"/>
  <c r="B86" i="12"/>
  <c r="Z85" i="12"/>
  <c r="X85" i="12"/>
  <c r="N85" i="12"/>
  <c r="L85" i="12"/>
  <c r="B85" i="12"/>
  <c r="Z84" i="12"/>
  <c r="X84" i="12"/>
  <c r="N84" i="12"/>
  <c r="L84" i="12"/>
  <c r="B84" i="12"/>
  <c r="Z83" i="12"/>
  <c r="X83" i="12"/>
  <c r="N83" i="12"/>
  <c r="L83" i="12"/>
  <c r="B83" i="12"/>
  <c r="Z82" i="12"/>
  <c r="X82" i="12"/>
  <c r="N82" i="12"/>
  <c r="L82" i="12"/>
  <c r="B82" i="12"/>
  <c r="X81" i="12"/>
  <c r="Z81" i="12" s="1"/>
  <c r="N81" i="12"/>
  <c r="L81" i="12"/>
  <c r="B81" i="12"/>
  <c r="X80" i="12"/>
  <c r="Z80" i="12" s="1"/>
  <c r="N80" i="12"/>
  <c r="L80" i="12"/>
  <c r="B80" i="12"/>
  <c r="Z79" i="12"/>
  <c r="X79" i="12"/>
  <c r="L79" i="12"/>
  <c r="N79" i="12" s="1"/>
  <c r="B79" i="12"/>
  <c r="X78" i="12"/>
  <c r="Z78" i="12" s="1"/>
  <c r="N78" i="12"/>
  <c r="L78" i="12"/>
  <c r="B78" i="12"/>
  <c r="X77" i="12"/>
  <c r="Z77" i="12" s="1"/>
  <c r="L77" i="12"/>
  <c r="N77" i="12" s="1"/>
  <c r="B77" i="12"/>
  <c r="Z76" i="12"/>
  <c r="X76" i="12"/>
  <c r="N76" i="12"/>
  <c r="L76" i="12"/>
  <c r="B76" i="12"/>
  <c r="T75" i="12"/>
  <c r="P75" i="12"/>
  <c r="L75" i="12"/>
  <c r="H75" i="12"/>
  <c r="N75" i="12" s="1"/>
  <c r="D75" i="12"/>
  <c r="T73" i="12"/>
  <c r="P73" i="12"/>
  <c r="X73" i="12" s="1"/>
  <c r="Z73" i="12" s="1"/>
  <c r="H73" i="12"/>
  <c r="N73" i="12" s="1"/>
  <c r="D73" i="12"/>
  <c r="L73" i="12" s="1"/>
  <c r="B73" i="12"/>
  <c r="T72" i="12"/>
  <c r="P72" i="12"/>
  <c r="H72" i="12"/>
  <c r="N72" i="12" s="1"/>
  <c r="D72" i="12"/>
  <c r="L72" i="12" s="1"/>
  <c r="B72" i="12"/>
  <c r="X71" i="12"/>
  <c r="Z71" i="12" s="1"/>
  <c r="T71" i="12"/>
  <c r="P71" i="12"/>
  <c r="H71" i="12"/>
  <c r="D71" i="12"/>
  <c r="B71" i="12"/>
  <c r="T70" i="12"/>
  <c r="P70" i="12"/>
  <c r="X70" i="12" s="1"/>
  <c r="Z70" i="12" s="1"/>
  <c r="L70" i="12"/>
  <c r="N70" i="12" s="1"/>
  <c r="H70" i="12"/>
  <c r="D70" i="12"/>
  <c r="B70" i="12"/>
  <c r="T69" i="12"/>
  <c r="Z69" i="12" s="1"/>
  <c r="P69" i="12"/>
  <c r="X69" i="12" s="1"/>
  <c r="H69" i="12"/>
  <c r="D69" i="12"/>
  <c r="L69" i="12" s="1"/>
  <c r="N69" i="12" s="1"/>
  <c r="B69" i="12"/>
  <c r="T68" i="12"/>
  <c r="Z68" i="12" s="1"/>
  <c r="P68" i="12"/>
  <c r="X68" i="12" s="1"/>
  <c r="H68" i="12"/>
  <c r="D68" i="12"/>
  <c r="B68" i="12"/>
  <c r="T67" i="12"/>
  <c r="P67" i="12"/>
  <c r="N67" i="12"/>
  <c r="L67" i="12"/>
  <c r="H67" i="12"/>
  <c r="D67" i="12"/>
  <c r="B67" i="12"/>
  <c r="X66" i="12"/>
  <c r="Z66" i="12" s="1"/>
  <c r="T66" i="12"/>
  <c r="P66" i="12"/>
  <c r="H66" i="12"/>
  <c r="D66" i="12"/>
  <c r="L66" i="12" s="1"/>
  <c r="N66" i="12" s="1"/>
  <c r="B66" i="12"/>
  <c r="T65" i="12"/>
  <c r="P65" i="12"/>
  <c r="X65" i="12" s="1"/>
  <c r="Z65" i="12" s="1"/>
  <c r="H65" i="12"/>
  <c r="D65" i="12"/>
  <c r="L65" i="12" s="1"/>
  <c r="B65" i="12"/>
  <c r="T64" i="12"/>
  <c r="P64" i="12"/>
  <c r="H64" i="12"/>
  <c r="N64" i="12" s="1"/>
  <c r="D64" i="12"/>
  <c r="L64" i="12" s="1"/>
  <c r="B64" i="12"/>
  <c r="X63" i="12"/>
  <c r="Z63" i="12" s="1"/>
  <c r="T63" i="12"/>
  <c r="P63" i="12"/>
  <c r="H63" i="12"/>
  <c r="D63" i="12"/>
  <c r="B63" i="12"/>
  <c r="T62" i="12"/>
  <c r="P62" i="12"/>
  <c r="X62" i="12" s="1"/>
  <c r="Z62" i="12" s="1"/>
  <c r="L62" i="12"/>
  <c r="N62" i="12" s="1"/>
  <c r="H62" i="12"/>
  <c r="D62" i="12"/>
  <c r="B62" i="12"/>
  <c r="T61" i="12"/>
  <c r="P61" i="12"/>
  <c r="X61" i="12" s="1"/>
  <c r="H61" i="12"/>
  <c r="D61" i="12"/>
  <c r="L61" i="12" s="1"/>
  <c r="N61" i="12" s="1"/>
  <c r="B61" i="12"/>
  <c r="T60" i="12"/>
  <c r="P60" i="12"/>
  <c r="X60" i="12" s="1"/>
  <c r="H60" i="12"/>
  <c r="D60" i="12"/>
  <c r="B60" i="12"/>
  <c r="T59" i="12"/>
  <c r="P59" i="12"/>
  <c r="L59" i="12"/>
  <c r="N59" i="12" s="1"/>
  <c r="H59" i="12"/>
  <c r="D59" i="12"/>
  <c r="B59" i="12"/>
  <c r="X58" i="12"/>
  <c r="Z58" i="12" s="1"/>
  <c r="T58" i="12"/>
  <c r="P58" i="12"/>
  <c r="N58" i="12"/>
  <c r="H58" i="12"/>
  <c r="D58" i="12"/>
  <c r="L58" i="12" s="1"/>
  <c r="B58" i="12"/>
  <c r="Z57" i="12"/>
  <c r="T57" i="12"/>
  <c r="P57" i="12"/>
  <c r="X57" i="12" s="1"/>
  <c r="H57" i="12"/>
  <c r="D57" i="12"/>
  <c r="L57" i="12" s="1"/>
  <c r="B57" i="12"/>
  <c r="T56" i="12"/>
  <c r="P56" i="12"/>
  <c r="H56" i="12"/>
  <c r="N56" i="12" s="1"/>
  <c r="D56" i="12"/>
  <c r="L56" i="12" s="1"/>
  <c r="B56" i="12"/>
  <c r="X55" i="12"/>
  <c r="Z55" i="12" s="1"/>
  <c r="T55" i="12"/>
  <c r="P55" i="12"/>
  <c r="H55" i="12"/>
  <c r="D55" i="12"/>
  <c r="B55" i="12"/>
  <c r="Z54" i="12"/>
  <c r="T54" i="12"/>
  <c r="P54" i="12"/>
  <c r="X54" i="12" s="1"/>
  <c r="N54" i="12"/>
  <c r="L54" i="12"/>
  <c r="H54" i="12"/>
  <c r="D54" i="12"/>
  <c r="B54" i="12"/>
  <c r="T53" i="12"/>
  <c r="Z53" i="12" s="1"/>
  <c r="P53" i="12"/>
  <c r="X53" i="12" s="1"/>
  <c r="H53" i="12"/>
  <c r="D53" i="12"/>
  <c r="L53" i="12" s="1"/>
  <c r="N53" i="12" s="1"/>
  <c r="B53" i="12"/>
  <c r="T52" i="12"/>
  <c r="Z52" i="12" s="1"/>
  <c r="P52" i="12"/>
  <c r="X52" i="12" s="1"/>
  <c r="H52" i="12"/>
  <c r="D52" i="12"/>
  <c r="B52" i="12"/>
  <c r="T51" i="12"/>
  <c r="P51" i="12"/>
  <c r="L51" i="12"/>
  <c r="N51" i="12" s="1"/>
  <c r="H51" i="12"/>
  <c r="D51" i="12"/>
  <c r="B51" i="12"/>
  <c r="X50" i="12"/>
  <c r="Z50" i="12" s="1"/>
  <c r="T50" i="12"/>
  <c r="P50" i="12"/>
  <c r="H50" i="12"/>
  <c r="D50" i="12"/>
  <c r="L50" i="12" s="1"/>
  <c r="N50" i="12" s="1"/>
  <c r="B50" i="12"/>
  <c r="Z49" i="12"/>
  <c r="T49" i="12"/>
  <c r="P49" i="12"/>
  <c r="X49" i="12" s="1"/>
  <c r="H49" i="12"/>
  <c r="D49" i="12"/>
  <c r="L49" i="12" s="1"/>
  <c r="B49" i="12"/>
  <c r="T48" i="12"/>
  <c r="P48" i="12"/>
  <c r="H48" i="12"/>
  <c r="D48" i="12"/>
  <c r="L48" i="12" s="1"/>
  <c r="B48" i="12"/>
  <c r="X47" i="12"/>
  <c r="Z47" i="12" s="1"/>
  <c r="T47" i="12"/>
  <c r="P47" i="12"/>
  <c r="H47" i="12"/>
  <c r="D47" i="12"/>
  <c r="B47" i="12"/>
  <c r="T46" i="12"/>
  <c r="P46" i="12"/>
  <c r="X46" i="12" s="1"/>
  <c r="Z46" i="12" s="1"/>
  <c r="L46" i="12"/>
  <c r="N46" i="12" s="1"/>
  <c r="H46" i="12"/>
  <c r="D46" i="12"/>
  <c r="B46" i="12"/>
  <c r="T45" i="12"/>
  <c r="Z45" i="12" s="1"/>
  <c r="P45" i="12"/>
  <c r="X45" i="12" s="1"/>
  <c r="H45" i="12"/>
  <c r="D45" i="12"/>
  <c r="L45" i="12" s="1"/>
  <c r="N45" i="12" s="1"/>
  <c r="B45" i="12"/>
  <c r="T44" i="12"/>
  <c r="Z44" i="12" s="1"/>
  <c r="P44" i="12"/>
  <c r="X44" i="12" s="1"/>
  <c r="H44" i="12"/>
  <c r="N44" i="12" s="1"/>
  <c r="D44" i="12"/>
  <c r="B44" i="12"/>
  <c r="T43" i="12"/>
  <c r="P43" i="12"/>
  <c r="N43" i="12"/>
  <c r="L43" i="12"/>
  <c r="H43" i="12"/>
  <c r="D43" i="12"/>
  <c r="B43" i="12"/>
  <c r="X42" i="12"/>
  <c r="Z42" i="12" s="1"/>
  <c r="T42" i="12"/>
  <c r="P42" i="12"/>
  <c r="H42" i="12"/>
  <c r="D42" i="12"/>
  <c r="L42" i="12" s="1"/>
  <c r="N42" i="12" s="1"/>
  <c r="B42" i="12"/>
  <c r="Z41" i="12"/>
  <c r="T41" i="12"/>
  <c r="P41" i="12"/>
  <c r="X41" i="12" s="1"/>
  <c r="H41" i="12"/>
  <c r="D41" i="12"/>
  <c r="L41" i="12" s="1"/>
  <c r="B41" i="12"/>
  <c r="T40" i="12"/>
  <c r="P40" i="12"/>
  <c r="H40" i="12"/>
  <c r="N40" i="12" s="1"/>
  <c r="D40" i="12"/>
  <c r="L40" i="12" s="1"/>
  <c r="B40" i="12"/>
  <c r="X39" i="12"/>
  <c r="Z39" i="12" s="1"/>
  <c r="T39" i="12"/>
  <c r="P39" i="12"/>
  <c r="H39" i="12"/>
  <c r="D39" i="12"/>
  <c r="B39" i="12"/>
  <c r="T38" i="12"/>
  <c r="P38" i="12"/>
  <c r="X38" i="12" s="1"/>
  <c r="Z38" i="12" s="1"/>
  <c r="N38" i="12"/>
  <c r="L38" i="12"/>
  <c r="H38" i="12"/>
  <c r="D38" i="12"/>
  <c r="B38" i="12"/>
  <c r="T37" i="12"/>
  <c r="Z37" i="12" s="1"/>
  <c r="P37" i="12"/>
  <c r="X37" i="12" s="1"/>
  <c r="H37" i="12"/>
  <c r="D37" i="12"/>
  <c r="L37" i="12" s="1"/>
  <c r="N37" i="12" s="1"/>
  <c r="B37" i="12"/>
  <c r="T36" i="12"/>
  <c r="Z36" i="12" s="1"/>
  <c r="P36" i="12"/>
  <c r="X36" i="12" s="1"/>
  <c r="H36" i="12"/>
  <c r="D36" i="12"/>
  <c r="B36" i="12"/>
  <c r="T35" i="12"/>
  <c r="P35" i="12"/>
  <c r="L35" i="12"/>
  <c r="N35" i="12" s="1"/>
  <c r="H35" i="12"/>
  <c r="D35" i="12"/>
  <c r="B35" i="12"/>
  <c r="X34" i="12"/>
  <c r="Z34" i="12" s="1"/>
  <c r="T34" i="12"/>
  <c r="P34" i="12"/>
  <c r="H34" i="12"/>
  <c r="D34" i="12"/>
  <c r="L34" i="12" s="1"/>
  <c r="N34" i="12" s="1"/>
  <c r="B34" i="12"/>
  <c r="T33" i="12"/>
  <c r="P33" i="12"/>
  <c r="X33" i="12" s="1"/>
  <c r="Z33" i="12" s="1"/>
  <c r="H33" i="12"/>
  <c r="N33" i="12" s="1"/>
  <c r="D33" i="12"/>
  <c r="L33" i="12" s="1"/>
  <c r="B33" i="12"/>
  <c r="T32" i="12"/>
  <c r="P32" i="12"/>
  <c r="H32" i="12"/>
  <c r="D32" i="12"/>
  <c r="L32" i="12" s="1"/>
  <c r="B32" i="12"/>
  <c r="X31" i="12"/>
  <c r="Z31" i="12" s="1"/>
  <c r="T31" i="12"/>
  <c r="P31" i="12"/>
  <c r="H31" i="12"/>
  <c r="D31" i="12"/>
  <c r="B31" i="12"/>
  <c r="T30" i="12"/>
  <c r="P30" i="12"/>
  <c r="X30" i="12" s="1"/>
  <c r="Z30" i="12" s="1"/>
  <c r="L30" i="12"/>
  <c r="N30" i="12" s="1"/>
  <c r="H30" i="12"/>
  <c r="D30" i="12"/>
  <c r="B30" i="12"/>
  <c r="T29" i="12"/>
  <c r="Z29" i="12" s="1"/>
  <c r="P29" i="12"/>
  <c r="X29" i="12" s="1"/>
  <c r="N29" i="12"/>
  <c r="H29" i="12"/>
  <c r="D29" i="12"/>
  <c r="L29" i="12" s="1"/>
  <c r="B29" i="12"/>
  <c r="T28" i="12"/>
  <c r="P28" i="12"/>
  <c r="X28" i="12" s="1"/>
  <c r="H28" i="12"/>
  <c r="D28" i="12"/>
  <c r="B28" i="12"/>
  <c r="T27" i="12"/>
  <c r="P27" i="12"/>
  <c r="L27" i="12"/>
  <c r="N27" i="12" s="1"/>
  <c r="H27" i="12"/>
  <c r="D27" i="12"/>
  <c r="B27" i="12"/>
  <c r="X26" i="12"/>
  <c r="Z26" i="12" s="1"/>
  <c r="T26" i="12"/>
  <c r="P26" i="12"/>
  <c r="N26" i="12"/>
  <c r="H26" i="12"/>
  <c r="D26" i="12"/>
  <c r="L26" i="12" s="1"/>
  <c r="B26" i="12"/>
  <c r="Z25" i="12"/>
  <c r="T25" i="12"/>
  <c r="P25" i="12"/>
  <c r="X25" i="12" s="1"/>
  <c r="H25" i="12"/>
  <c r="N25" i="12" s="1"/>
  <c r="D25" i="12"/>
  <c r="L25" i="12" s="1"/>
  <c r="B25" i="12"/>
  <c r="T24" i="12"/>
  <c r="P24" i="12"/>
  <c r="H24" i="12"/>
  <c r="N24" i="12" s="1"/>
  <c r="D24" i="12"/>
  <c r="L24" i="12" s="1"/>
  <c r="B24" i="12"/>
  <c r="X23" i="12"/>
  <c r="Z23" i="12" s="1"/>
  <c r="T23" i="12"/>
  <c r="P23" i="12"/>
  <c r="H23" i="12"/>
  <c r="D23" i="12"/>
  <c r="B23" i="12"/>
  <c r="T22" i="12"/>
  <c r="P22" i="12"/>
  <c r="X22" i="12" s="1"/>
  <c r="Z22" i="12" s="1"/>
  <c r="L22" i="12"/>
  <c r="N22" i="12" s="1"/>
  <c r="H22" i="12"/>
  <c r="D22" i="12"/>
  <c r="B22" i="12"/>
  <c r="T21" i="12"/>
  <c r="P21" i="12"/>
  <c r="X21" i="12" s="1"/>
  <c r="N21" i="12"/>
  <c r="H21" i="12"/>
  <c r="D21" i="12"/>
  <c r="L21" i="12" s="1"/>
  <c r="B21" i="12"/>
  <c r="T20" i="12"/>
  <c r="P20" i="12"/>
  <c r="X20" i="12" s="1"/>
  <c r="H20" i="12"/>
  <c r="D20" i="12"/>
  <c r="B20" i="12"/>
  <c r="T19" i="12"/>
  <c r="P19" i="12"/>
  <c r="L19" i="12"/>
  <c r="N19" i="12" s="1"/>
  <c r="H19" i="12"/>
  <c r="D19" i="12"/>
  <c r="B19" i="12"/>
  <c r="X18" i="12"/>
  <c r="Z18" i="12" s="1"/>
  <c r="T18" i="12"/>
  <c r="P18" i="12"/>
  <c r="H18" i="12"/>
  <c r="D18" i="12"/>
  <c r="L18" i="12" s="1"/>
  <c r="N18" i="12" s="1"/>
  <c r="B18" i="12"/>
  <c r="T17" i="12"/>
  <c r="P17" i="12"/>
  <c r="X17" i="12" s="1"/>
  <c r="Z17" i="12" s="1"/>
  <c r="H17" i="12"/>
  <c r="D17" i="12"/>
  <c r="L17" i="12" s="1"/>
  <c r="B17" i="12"/>
  <c r="T16" i="12"/>
  <c r="P16" i="12"/>
  <c r="H16" i="12"/>
  <c r="D16" i="12"/>
  <c r="L16" i="12" s="1"/>
  <c r="B16" i="12"/>
  <c r="X15" i="12"/>
  <c r="Z15" i="12" s="1"/>
  <c r="T15" i="12"/>
  <c r="P15" i="12"/>
  <c r="H15" i="12"/>
  <c r="D15" i="12"/>
  <c r="B15" i="12"/>
  <c r="T14" i="12"/>
  <c r="P14" i="12"/>
  <c r="X14" i="12" s="1"/>
  <c r="Z14" i="12" s="1"/>
  <c r="L14" i="12"/>
  <c r="N14" i="12" s="1"/>
  <c r="H14" i="12"/>
  <c r="D14" i="12"/>
  <c r="B14" i="12"/>
  <c r="T13" i="12"/>
  <c r="P13" i="12"/>
  <c r="X13" i="12" s="1"/>
  <c r="N13" i="12"/>
  <c r="H13" i="12"/>
  <c r="D13" i="12"/>
  <c r="L13" i="12" s="1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4" i="11" s="1"/>
  <c r="P12" i="11"/>
  <c r="H12" i="11"/>
  <c r="J18" i="11" s="1"/>
  <c r="D12" i="11"/>
  <c r="F18" i="11" s="1"/>
  <c r="D5" i="11"/>
  <c r="D4" i="11"/>
  <c r="B39" i="10"/>
  <c r="B38" i="10"/>
  <c r="T34" i="10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4" i="10" s="1"/>
  <c r="P12" i="10"/>
  <c r="R34" i="10" s="1"/>
  <c r="H12" i="10"/>
  <c r="J36" i="10" s="1"/>
  <c r="D12" i="10"/>
  <c r="F34" i="10" s="1"/>
  <c r="D5" i="10"/>
  <c r="D4" i="10"/>
  <c r="J91" i="9"/>
  <c r="R88" i="9"/>
  <c r="Z86" i="9"/>
  <c r="X86" i="9"/>
  <c r="N86" i="9"/>
  <c r="L86" i="9"/>
  <c r="J84" i="9"/>
  <c r="T82" i="9"/>
  <c r="Z82" i="9" s="1"/>
  <c r="R82" i="9"/>
  <c r="P82" i="9"/>
  <c r="L82" i="9"/>
  <c r="H82" i="9"/>
  <c r="N82" i="9" s="1"/>
  <c r="D82" i="9"/>
  <c r="Z80" i="9"/>
  <c r="X80" i="9"/>
  <c r="L80" i="9"/>
  <c r="N80" i="9" s="1"/>
  <c r="B80" i="9"/>
  <c r="T79" i="9"/>
  <c r="Z79" i="9" s="1"/>
  <c r="P79" i="9"/>
  <c r="X79" i="9" s="1"/>
  <c r="L79" i="9"/>
  <c r="N79" i="9" s="1"/>
  <c r="H79" i="9"/>
  <c r="D79" i="9"/>
  <c r="B79" i="9"/>
  <c r="Z78" i="9"/>
  <c r="X78" i="9"/>
  <c r="N78" i="9"/>
  <c r="L78" i="9"/>
  <c r="B78" i="9"/>
  <c r="Z77" i="9"/>
  <c r="X77" i="9"/>
  <c r="T77" i="9"/>
  <c r="P77" i="9"/>
  <c r="H77" i="9"/>
  <c r="D77" i="9"/>
  <c r="B77" i="9"/>
  <c r="X76" i="9"/>
  <c r="Z76" i="9" s="1"/>
  <c r="N76" i="9"/>
  <c r="L76" i="9"/>
  <c r="B76" i="9"/>
  <c r="Z75" i="9"/>
  <c r="X75" i="9"/>
  <c r="R75" i="9"/>
  <c r="N75" i="9"/>
  <c r="L75" i="9"/>
  <c r="B75" i="9"/>
  <c r="T74" i="9"/>
  <c r="Z74" i="9" s="1"/>
  <c r="P74" i="9"/>
  <c r="X74" i="9" s="1"/>
  <c r="H74" i="9"/>
  <c r="F74" i="9"/>
  <c r="D74" i="9"/>
  <c r="B74" i="9"/>
  <c r="Z73" i="9"/>
  <c r="X73" i="9"/>
  <c r="N73" i="9"/>
  <c r="L73" i="9"/>
  <c r="B73" i="9"/>
  <c r="X72" i="9"/>
  <c r="Z72" i="9" s="1"/>
  <c r="N72" i="9"/>
  <c r="L72" i="9"/>
  <c r="B72" i="9"/>
  <c r="Z71" i="9"/>
  <c r="X71" i="9"/>
  <c r="R71" i="9"/>
  <c r="N71" i="9"/>
  <c r="L71" i="9"/>
  <c r="B71" i="9"/>
  <c r="X70" i="9"/>
  <c r="Z70" i="9" s="1"/>
  <c r="V70" i="9"/>
  <c r="N70" i="9"/>
  <c r="L70" i="9"/>
  <c r="B70" i="9"/>
  <c r="Z69" i="9"/>
  <c r="X69" i="9"/>
  <c r="N69" i="9"/>
  <c r="L69" i="9"/>
  <c r="B69" i="9"/>
  <c r="T68" i="9"/>
  <c r="P68" i="9"/>
  <c r="X68" i="9" s="1"/>
  <c r="Z68" i="9" s="1"/>
  <c r="J68" i="9"/>
  <c r="H68" i="9"/>
  <c r="D68" i="9"/>
  <c r="L68" i="9" s="1"/>
  <c r="N68" i="9" s="1"/>
  <c r="B68" i="9"/>
  <c r="Z67" i="9"/>
  <c r="X67" i="9"/>
  <c r="R67" i="9"/>
  <c r="N67" i="9"/>
  <c r="L67" i="9"/>
  <c r="B67" i="9"/>
  <c r="T66" i="9"/>
  <c r="P66" i="9"/>
  <c r="X66" i="9" s="1"/>
  <c r="Z66" i="9" s="1"/>
  <c r="H66" i="9"/>
  <c r="F66" i="9"/>
  <c r="D66" i="9"/>
  <c r="B66" i="9"/>
  <c r="Z65" i="9"/>
  <c r="X65" i="9"/>
  <c r="N65" i="9"/>
  <c r="L65" i="9"/>
  <c r="B65" i="9"/>
  <c r="T64" i="9"/>
  <c r="R64" i="9"/>
  <c r="P64" i="9"/>
  <c r="L64" i="9"/>
  <c r="H64" i="9"/>
  <c r="N64" i="9" s="1"/>
  <c r="D64" i="9"/>
  <c r="B64" i="9"/>
  <c r="Z63" i="9"/>
  <c r="X63" i="9"/>
  <c r="N63" i="9"/>
  <c r="L63" i="9"/>
  <c r="F63" i="9"/>
  <c r="B63" i="9"/>
  <c r="X62" i="9"/>
  <c r="Z62" i="9" s="1"/>
  <c r="L62" i="9"/>
  <c r="N62" i="9" s="1"/>
  <c r="J62" i="9"/>
  <c r="B62" i="9"/>
  <c r="Z61" i="9"/>
  <c r="X61" i="9"/>
  <c r="L61" i="9"/>
  <c r="N61" i="9" s="1"/>
  <c r="B61" i="9"/>
  <c r="T60" i="9"/>
  <c r="R60" i="9"/>
  <c r="P60" i="9"/>
  <c r="L60" i="9"/>
  <c r="H60" i="9"/>
  <c r="N60" i="9" s="1"/>
  <c r="D60" i="9"/>
  <c r="B60" i="9"/>
  <c r="Z59" i="9"/>
  <c r="X59" i="9"/>
  <c r="N59" i="9"/>
  <c r="L59" i="9"/>
  <c r="F59" i="9"/>
  <c r="B59" i="9"/>
  <c r="X58" i="9"/>
  <c r="Z58" i="9" s="1"/>
  <c r="L58" i="9"/>
  <c r="N58" i="9" s="1"/>
  <c r="J58" i="9"/>
  <c r="B58" i="9"/>
  <c r="Z57" i="9"/>
  <c r="X57" i="9"/>
  <c r="L57" i="9"/>
  <c r="N57" i="9" s="1"/>
  <c r="B57" i="9"/>
  <c r="T56" i="9"/>
  <c r="R56" i="9"/>
  <c r="P56" i="9"/>
  <c r="L56" i="9"/>
  <c r="H56" i="9"/>
  <c r="N56" i="9" s="1"/>
  <c r="D56" i="9"/>
  <c r="B56" i="9"/>
  <c r="Z55" i="9"/>
  <c r="X55" i="9"/>
  <c r="N55" i="9"/>
  <c r="L55" i="9"/>
  <c r="F55" i="9"/>
  <c r="B55" i="9"/>
  <c r="X54" i="9"/>
  <c r="T54" i="9"/>
  <c r="Z54" i="9" s="1"/>
  <c r="P54" i="9"/>
  <c r="N54" i="9"/>
  <c r="H54" i="9"/>
  <c r="D54" i="9"/>
  <c r="L54" i="9" s="1"/>
  <c r="B54" i="9"/>
  <c r="X53" i="9"/>
  <c r="Z53" i="9" s="1"/>
  <c r="N53" i="9"/>
  <c r="L53" i="9"/>
  <c r="B53" i="9"/>
  <c r="Z52" i="9"/>
  <c r="T52" i="9"/>
  <c r="P52" i="9"/>
  <c r="X52" i="9" s="1"/>
  <c r="J52" i="9"/>
  <c r="H52" i="9"/>
  <c r="N52" i="9" s="1"/>
  <c r="D52" i="9"/>
  <c r="L52" i="9" s="1"/>
  <c r="B52" i="9"/>
  <c r="Z51" i="9"/>
  <c r="X51" i="9"/>
  <c r="R51" i="9"/>
  <c r="N51" i="9"/>
  <c r="L51" i="9"/>
  <c r="B51" i="9"/>
  <c r="X50" i="9"/>
  <c r="Z50" i="9" s="1"/>
  <c r="V50" i="9"/>
  <c r="L50" i="9"/>
  <c r="N50" i="9" s="1"/>
  <c r="B50" i="9"/>
  <c r="X49" i="9"/>
  <c r="Z49" i="9" s="1"/>
  <c r="T49" i="9"/>
  <c r="P49" i="9"/>
  <c r="H49" i="9"/>
  <c r="D49" i="9"/>
  <c r="B49" i="9"/>
  <c r="X48" i="9"/>
  <c r="Z48" i="9" s="1"/>
  <c r="N48" i="9"/>
  <c r="L48" i="9"/>
  <c r="B48" i="9"/>
  <c r="T47" i="9"/>
  <c r="P47" i="9"/>
  <c r="H47" i="9"/>
  <c r="D47" i="9"/>
  <c r="L47" i="9" s="1"/>
  <c r="N47" i="9" s="1"/>
  <c r="B47" i="9"/>
  <c r="X46" i="9"/>
  <c r="Z46" i="9" s="1"/>
  <c r="L46" i="9"/>
  <c r="N46" i="9" s="1"/>
  <c r="J46" i="9"/>
  <c r="B46" i="9"/>
  <c r="T45" i="9"/>
  <c r="P45" i="9"/>
  <c r="X45" i="9" s="1"/>
  <c r="Z45" i="9" s="1"/>
  <c r="H45" i="9"/>
  <c r="N45" i="9" s="1"/>
  <c r="D45" i="9"/>
  <c r="L45" i="9" s="1"/>
  <c r="B45" i="9"/>
  <c r="Z44" i="9"/>
  <c r="X44" i="9"/>
  <c r="L44" i="9"/>
  <c r="N44" i="9" s="1"/>
  <c r="B44" i="9"/>
  <c r="T43" i="9"/>
  <c r="P43" i="9"/>
  <c r="X43" i="9" s="1"/>
  <c r="L43" i="9"/>
  <c r="N43" i="9" s="1"/>
  <c r="H43" i="9"/>
  <c r="D43" i="9"/>
  <c r="B43" i="9"/>
  <c r="X42" i="9"/>
  <c r="Z42" i="9" s="1"/>
  <c r="V42" i="9"/>
  <c r="L42" i="9"/>
  <c r="N42" i="9" s="1"/>
  <c r="B42" i="9"/>
  <c r="X41" i="9"/>
  <c r="Z41" i="9" s="1"/>
  <c r="T41" i="9"/>
  <c r="P41" i="9"/>
  <c r="H41" i="9"/>
  <c r="D41" i="9"/>
  <c r="B41" i="9"/>
  <c r="X40" i="9"/>
  <c r="Z40" i="9" s="1"/>
  <c r="N40" i="9"/>
  <c r="L40" i="9"/>
  <c r="B40" i="9"/>
  <c r="T39" i="9"/>
  <c r="P39" i="9"/>
  <c r="H39" i="9"/>
  <c r="D39" i="9"/>
  <c r="L39" i="9" s="1"/>
  <c r="N39" i="9" s="1"/>
  <c r="B39" i="9"/>
  <c r="X38" i="9"/>
  <c r="Z38" i="9" s="1"/>
  <c r="L38" i="9"/>
  <c r="N38" i="9" s="1"/>
  <c r="J38" i="9"/>
  <c r="B38" i="9"/>
  <c r="T37" i="9"/>
  <c r="P37" i="9"/>
  <c r="X37" i="9" s="1"/>
  <c r="Z37" i="9" s="1"/>
  <c r="H37" i="9"/>
  <c r="N37" i="9" s="1"/>
  <c r="D37" i="9"/>
  <c r="L37" i="9" s="1"/>
  <c r="B37" i="9"/>
  <c r="Z36" i="9"/>
  <c r="X36" i="9"/>
  <c r="N36" i="9"/>
  <c r="L36" i="9"/>
  <c r="B36" i="9"/>
  <c r="X35" i="9"/>
  <c r="Z35" i="9" s="1"/>
  <c r="L35" i="9"/>
  <c r="N35" i="9" s="1"/>
  <c r="F35" i="9"/>
  <c r="B35" i="9"/>
  <c r="X34" i="9"/>
  <c r="Z34" i="9" s="1"/>
  <c r="L34" i="9"/>
  <c r="N34" i="9" s="1"/>
  <c r="J34" i="9"/>
  <c r="B34" i="9"/>
  <c r="Z33" i="9"/>
  <c r="X33" i="9"/>
  <c r="L33" i="9"/>
  <c r="N33" i="9" s="1"/>
  <c r="B33" i="9"/>
  <c r="Z32" i="9"/>
  <c r="X32" i="9"/>
  <c r="N32" i="9"/>
  <c r="L32" i="9"/>
  <c r="B32" i="9"/>
  <c r="X31" i="9"/>
  <c r="Z31" i="9" s="1"/>
  <c r="R31" i="9"/>
  <c r="L31" i="9"/>
  <c r="N31" i="9" s="1"/>
  <c r="J31" i="9"/>
  <c r="B31" i="9"/>
  <c r="T30" i="9"/>
  <c r="P30" i="9"/>
  <c r="X30" i="9" s="1"/>
  <c r="Z30" i="9" s="1"/>
  <c r="H30" i="9"/>
  <c r="F30" i="9"/>
  <c r="D30" i="9"/>
  <c r="B30" i="9"/>
  <c r="Z29" i="9"/>
  <c r="X29" i="9"/>
  <c r="L29" i="9"/>
  <c r="N29" i="9" s="1"/>
  <c r="B29" i="9"/>
  <c r="Z28" i="9"/>
  <c r="X28" i="9"/>
  <c r="N28" i="9"/>
  <c r="L28" i="9"/>
  <c r="B28" i="9"/>
  <c r="Z27" i="9"/>
  <c r="X27" i="9"/>
  <c r="R27" i="9"/>
  <c r="N27" i="9"/>
  <c r="L27" i="9"/>
  <c r="J27" i="9"/>
  <c r="B27" i="9"/>
  <c r="X26" i="9"/>
  <c r="Z26" i="9" s="1"/>
  <c r="L26" i="9"/>
  <c r="N26" i="9" s="1"/>
  <c r="B26" i="9"/>
  <c r="X25" i="9"/>
  <c r="Z25" i="9" s="1"/>
  <c r="N25" i="9"/>
  <c r="L25" i="9"/>
  <c r="B25" i="9"/>
  <c r="Z24" i="9"/>
  <c r="X24" i="9"/>
  <c r="R24" i="9"/>
  <c r="N24" i="9"/>
  <c r="L24" i="9"/>
  <c r="B24" i="9"/>
  <c r="Z23" i="9"/>
  <c r="X23" i="9"/>
  <c r="L23" i="9"/>
  <c r="N23" i="9" s="1"/>
  <c r="F23" i="9"/>
  <c r="B23" i="9"/>
  <c r="X22" i="9"/>
  <c r="Z22" i="9" s="1"/>
  <c r="L22" i="9"/>
  <c r="N22" i="9" s="1"/>
  <c r="J22" i="9"/>
  <c r="B22" i="9"/>
  <c r="Z21" i="9"/>
  <c r="X21" i="9"/>
  <c r="L21" i="9"/>
  <c r="N21" i="9" s="1"/>
  <c r="B21" i="9"/>
  <c r="Z20" i="9"/>
  <c r="X20" i="9"/>
  <c r="R20" i="9"/>
  <c r="N20" i="9"/>
  <c r="L20" i="9"/>
  <c r="B20" i="9"/>
  <c r="T19" i="9"/>
  <c r="P19" i="9"/>
  <c r="H19" i="9"/>
  <c r="D19" i="9"/>
  <c r="L19" i="9" s="1"/>
  <c r="N19" i="9" s="1"/>
  <c r="B19" i="9"/>
  <c r="X18" i="9"/>
  <c r="T18" i="9"/>
  <c r="Z18" i="9" s="1"/>
  <c r="P18" i="9"/>
  <c r="H18" i="9"/>
  <c r="D18" i="9"/>
  <c r="L18" i="9" s="1"/>
  <c r="N18" i="9" s="1"/>
  <c r="P16" i="9"/>
  <c r="J16" i="9"/>
  <c r="F16" i="9"/>
  <c r="X14" i="9"/>
  <c r="T14" i="9"/>
  <c r="Z14" i="9" s="1"/>
  <c r="R14" i="9"/>
  <c r="P14" i="9"/>
  <c r="H14" i="9"/>
  <c r="H16" i="9" s="1"/>
  <c r="D14" i="9"/>
  <c r="T12" i="9"/>
  <c r="V66" i="9" s="1"/>
  <c r="P12" i="9"/>
  <c r="R76" i="9" s="1"/>
  <c r="L12" i="9"/>
  <c r="H12" i="9"/>
  <c r="J77" i="9" s="1"/>
  <c r="D12" i="9"/>
  <c r="F86" i="9" s="1"/>
  <c r="D4" i="9"/>
  <c r="B39" i="8"/>
  <c r="B38" i="8"/>
  <c r="T34" i="8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P12" i="8"/>
  <c r="R25" i="8" s="1"/>
  <c r="H12" i="8"/>
  <c r="J20" i="8" s="1"/>
  <c r="D12" i="8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34" i="7" s="1"/>
  <c r="P12" i="7"/>
  <c r="R36" i="7" s="1"/>
  <c r="H12" i="7"/>
  <c r="D12" i="7"/>
  <c r="F21" i="7" s="1"/>
  <c r="D5" i="7"/>
  <c r="D4" i="7"/>
  <c r="R31" i="6"/>
  <c r="J31" i="6"/>
  <c r="T29" i="6"/>
  <c r="X29" i="6" s="1"/>
  <c r="Z29" i="6" s="1"/>
  <c r="R29" i="6"/>
  <c r="P29" i="6"/>
  <c r="L29" i="6"/>
  <c r="N29" i="6" s="1"/>
  <c r="J29" i="6"/>
  <c r="H29" i="6"/>
  <c r="F29" i="6"/>
  <c r="D29" i="6"/>
  <c r="T28" i="6"/>
  <c r="R28" i="6"/>
  <c r="P28" i="6"/>
  <c r="X28" i="6" s="1"/>
  <c r="Z28" i="6" s="1"/>
  <c r="J28" i="6"/>
  <c r="H28" i="6"/>
  <c r="D28" i="6"/>
  <c r="L28" i="6" s="1"/>
  <c r="N28" i="6" s="1"/>
  <c r="R26" i="6"/>
  <c r="J26" i="6"/>
  <c r="F26" i="6"/>
  <c r="Z24" i="6"/>
  <c r="X24" i="6"/>
  <c r="R24" i="6"/>
  <c r="N24" i="6"/>
  <c r="L24" i="6"/>
  <c r="J24" i="6"/>
  <c r="R22" i="6"/>
  <c r="J22" i="6"/>
  <c r="Z20" i="6"/>
  <c r="T20" i="6"/>
  <c r="R20" i="6"/>
  <c r="P20" i="6"/>
  <c r="X20" i="6" s="1"/>
  <c r="N20" i="6"/>
  <c r="L20" i="6"/>
  <c r="J20" i="6"/>
  <c r="H20" i="6"/>
  <c r="F20" i="6"/>
  <c r="D20" i="6"/>
  <c r="Z18" i="6"/>
  <c r="T18" i="6"/>
  <c r="R18" i="6"/>
  <c r="P18" i="6"/>
  <c r="X18" i="6" s="1"/>
  <c r="N18" i="6"/>
  <c r="J18" i="6"/>
  <c r="H18" i="6"/>
  <c r="D18" i="6"/>
  <c r="L18" i="6" s="1"/>
  <c r="R16" i="6"/>
  <c r="J16" i="6"/>
  <c r="F16" i="6"/>
  <c r="Z14" i="6"/>
  <c r="T14" i="6"/>
  <c r="X14" i="6" s="1"/>
  <c r="R14" i="6"/>
  <c r="P14" i="6"/>
  <c r="N14" i="6"/>
  <c r="J14" i="6"/>
  <c r="H14" i="6"/>
  <c r="D14" i="6"/>
  <c r="L14" i="6" s="1"/>
  <c r="Z12" i="6"/>
  <c r="T12" i="6"/>
  <c r="V29" i="6" s="1"/>
  <c r="P12" i="6"/>
  <c r="X12" i="6" s="1"/>
  <c r="N12" i="6"/>
  <c r="H12" i="6"/>
  <c r="H16" i="6" s="1"/>
  <c r="D12" i="6"/>
  <c r="F24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34" i="5" s="1"/>
  <c r="P12" i="5"/>
  <c r="H12" i="5"/>
  <c r="J21" i="5" s="1"/>
  <c r="D12" i="5"/>
  <c r="F34" i="5" s="1"/>
  <c r="D5" i="5"/>
  <c r="D4" i="5"/>
  <c r="B39" i="4"/>
  <c r="B38" i="4"/>
  <c r="T34" i="4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0" i="4" s="1"/>
  <c r="P12" i="4"/>
  <c r="R22" i="4" s="1"/>
  <c r="H12" i="4"/>
  <c r="J24" i="4" s="1"/>
  <c r="D12" i="4"/>
  <c r="D5" i="4"/>
  <c r="D4" i="4"/>
  <c r="X250" i="3"/>
  <c r="T250" i="3"/>
  <c r="P250" i="3"/>
  <c r="H250" i="3"/>
  <c r="D250" i="3"/>
  <c r="T249" i="3"/>
  <c r="P249" i="3"/>
  <c r="X249" i="3" s="1"/>
  <c r="L249" i="3"/>
  <c r="H249" i="3"/>
  <c r="N249" i="3" s="1"/>
  <c r="D249" i="3"/>
  <c r="X245" i="3"/>
  <c r="Z245" i="3" s="1"/>
  <c r="L245" i="3"/>
  <c r="N245" i="3" s="1"/>
  <c r="X241" i="3"/>
  <c r="T241" i="3"/>
  <c r="P241" i="3"/>
  <c r="H241" i="3"/>
  <c r="N241" i="3" s="1"/>
  <c r="D241" i="3"/>
  <c r="L241" i="3" s="1"/>
  <c r="B241" i="3"/>
  <c r="T240" i="3"/>
  <c r="P240" i="3"/>
  <c r="X240" i="3" s="1"/>
  <c r="Z240" i="3" s="1"/>
  <c r="N240" i="3"/>
  <c r="H240" i="3"/>
  <c r="D240" i="3"/>
  <c r="L240" i="3" s="1"/>
  <c r="B240" i="3"/>
  <c r="X239" i="3"/>
  <c r="T239" i="3"/>
  <c r="Z239" i="3" s="1"/>
  <c r="P239" i="3"/>
  <c r="L239" i="3"/>
  <c r="H239" i="3"/>
  <c r="D239" i="3"/>
  <c r="B239" i="3"/>
  <c r="X238" i="3"/>
  <c r="Z238" i="3" s="1"/>
  <c r="T238" i="3"/>
  <c r="P238" i="3"/>
  <c r="H238" i="3"/>
  <c r="L238" i="3" s="1"/>
  <c r="N238" i="3" s="1"/>
  <c r="D238" i="3"/>
  <c r="B238" i="3"/>
  <c r="T237" i="3"/>
  <c r="Z237" i="3" s="1"/>
  <c r="P237" i="3"/>
  <c r="X237" i="3" s="1"/>
  <c r="L237" i="3"/>
  <c r="H237" i="3"/>
  <c r="N237" i="3" s="1"/>
  <c r="D237" i="3"/>
  <c r="B237" i="3"/>
  <c r="T236" i="3"/>
  <c r="P236" i="3"/>
  <c r="X236" i="3" s="1"/>
  <c r="Z236" i="3" s="1"/>
  <c r="L236" i="3"/>
  <c r="N236" i="3" s="1"/>
  <c r="H236" i="3"/>
  <c r="D236" i="3"/>
  <c r="B236" i="3"/>
  <c r="T235" i="3"/>
  <c r="P235" i="3"/>
  <c r="H235" i="3"/>
  <c r="N235" i="3" s="1"/>
  <c r="D235" i="3"/>
  <c r="B235" i="3"/>
  <c r="T234" i="3"/>
  <c r="P234" i="3"/>
  <c r="X234" i="3" s="1"/>
  <c r="Z234" i="3" s="1"/>
  <c r="N234" i="3"/>
  <c r="H234" i="3"/>
  <c r="D234" i="3"/>
  <c r="L234" i="3" s="1"/>
  <c r="B234" i="3"/>
  <c r="H233" i="3"/>
  <c r="X231" i="3"/>
  <c r="Z231" i="3" s="1"/>
  <c r="L231" i="3"/>
  <c r="N231" i="3" s="1"/>
  <c r="B231" i="3"/>
  <c r="T230" i="3"/>
  <c r="P230" i="3"/>
  <c r="X230" i="3" s="1"/>
  <c r="Z230" i="3" s="1"/>
  <c r="H230" i="3"/>
  <c r="D230" i="3"/>
  <c r="L230" i="3" s="1"/>
  <c r="N230" i="3" s="1"/>
  <c r="B230" i="3"/>
  <c r="X229" i="3"/>
  <c r="Z229" i="3" s="1"/>
  <c r="N229" i="3"/>
  <c r="L229" i="3"/>
  <c r="B229" i="3"/>
  <c r="Z228" i="3"/>
  <c r="X228" i="3"/>
  <c r="L228" i="3"/>
  <c r="N228" i="3" s="1"/>
  <c r="B228" i="3"/>
  <c r="X227" i="3"/>
  <c r="Z227" i="3" s="1"/>
  <c r="N227" i="3"/>
  <c r="L227" i="3"/>
  <c r="B227" i="3"/>
  <c r="T226" i="3"/>
  <c r="P226" i="3"/>
  <c r="X226" i="3" s="1"/>
  <c r="Z226" i="3" s="1"/>
  <c r="H226" i="3"/>
  <c r="D226" i="3"/>
  <c r="L226" i="3" s="1"/>
  <c r="N226" i="3" s="1"/>
  <c r="B226" i="3"/>
  <c r="X225" i="3"/>
  <c r="Z225" i="3" s="1"/>
  <c r="L225" i="3"/>
  <c r="N225" i="3" s="1"/>
  <c r="B225" i="3"/>
  <c r="T224" i="3"/>
  <c r="P224" i="3"/>
  <c r="X224" i="3" s="1"/>
  <c r="Z224" i="3" s="1"/>
  <c r="H224" i="3"/>
  <c r="L224" i="3" s="1"/>
  <c r="N224" i="3" s="1"/>
  <c r="D224" i="3"/>
  <c r="B224" i="3"/>
  <c r="X223" i="3"/>
  <c r="Z223" i="3" s="1"/>
  <c r="L223" i="3"/>
  <c r="N223" i="3" s="1"/>
  <c r="B223" i="3"/>
  <c r="Z222" i="3"/>
  <c r="X222" i="3"/>
  <c r="N222" i="3"/>
  <c r="L222" i="3"/>
  <c r="B222" i="3"/>
  <c r="X221" i="3"/>
  <c r="T221" i="3"/>
  <c r="Z221" i="3" s="1"/>
  <c r="P221" i="3"/>
  <c r="L221" i="3"/>
  <c r="H221" i="3"/>
  <c r="D221" i="3"/>
  <c r="B221" i="3"/>
  <c r="X220" i="3"/>
  <c r="Z220" i="3" s="1"/>
  <c r="N220" i="3"/>
  <c r="L220" i="3"/>
  <c r="B220" i="3"/>
  <c r="X219" i="3"/>
  <c r="Z219" i="3" s="1"/>
  <c r="L219" i="3"/>
  <c r="N219" i="3" s="1"/>
  <c r="B219" i="3"/>
  <c r="Z218" i="3"/>
  <c r="X218" i="3"/>
  <c r="N218" i="3"/>
  <c r="L218" i="3"/>
  <c r="B218" i="3"/>
  <c r="X217" i="3"/>
  <c r="Z217" i="3" s="1"/>
  <c r="L217" i="3"/>
  <c r="N217" i="3" s="1"/>
  <c r="B217" i="3"/>
  <c r="Z216" i="3"/>
  <c r="X216" i="3"/>
  <c r="L216" i="3"/>
  <c r="N216" i="3" s="1"/>
  <c r="B216" i="3"/>
  <c r="X215" i="3"/>
  <c r="Z215" i="3" s="1"/>
  <c r="L215" i="3"/>
  <c r="N215" i="3" s="1"/>
  <c r="B215" i="3"/>
  <c r="Z214" i="3"/>
  <c r="X214" i="3"/>
  <c r="N214" i="3"/>
  <c r="L214" i="3"/>
  <c r="B214" i="3"/>
  <c r="X213" i="3"/>
  <c r="Z213" i="3" s="1"/>
  <c r="R213" i="3"/>
  <c r="L213" i="3"/>
  <c r="N213" i="3" s="1"/>
  <c r="B213" i="3"/>
  <c r="X212" i="3"/>
  <c r="Z212" i="3" s="1"/>
  <c r="N212" i="3"/>
  <c r="L212" i="3"/>
  <c r="B212" i="3"/>
  <c r="X211" i="3"/>
  <c r="T211" i="3"/>
  <c r="P211" i="3"/>
  <c r="H211" i="3"/>
  <c r="D211" i="3"/>
  <c r="L211" i="3" s="1"/>
  <c r="B211" i="3"/>
  <c r="Z210" i="3"/>
  <c r="X210" i="3"/>
  <c r="N210" i="3"/>
  <c r="L210" i="3"/>
  <c r="B210" i="3"/>
  <c r="X209" i="3"/>
  <c r="Z209" i="3" s="1"/>
  <c r="L209" i="3"/>
  <c r="N209" i="3" s="1"/>
  <c r="B209" i="3"/>
  <c r="T208" i="3"/>
  <c r="P208" i="3"/>
  <c r="X208" i="3" s="1"/>
  <c r="Z208" i="3" s="1"/>
  <c r="H208" i="3"/>
  <c r="L208" i="3" s="1"/>
  <c r="N208" i="3" s="1"/>
  <c r="D208" i="3"/>
  <c r="B208" i="3"/>
  <c r="X207" i="3"/>
  <c r="Z207" i="3" s="1"/>
  <c r="L207" i="3"/>
  <c r="N207" i="3" s="1"/>
  <c r="B207" i="3"/>
  <c r="Z206" i="3"/>
  <c r="X206" i="3"/>
  <c r="N206" i="3"/>
  <c r="L206" i="3"/>
  <c r="B206" i="3"/>
  <c r="X205" i="3"/>
  <c r="Z205" i="3" s="1"/>
  <c r="L205" i="3"/>
  <c r="N205" i="3" s="1"/>
  <c r="B205" i="3"/>
  <c r="X204" i="3"/>
  <c r="Z204" i="3" s="1"/>
  <c r="N204" i="3"/>
  <c r="L204" i="3"/>
  <c r="B204" i="3"/>
  <c r="X203" i="3"/>
  <c r="Z203" i="3" s="1"/>
  <c r="L203" i="3"/>
  <c r="N203" i="3" s="1"/>
  <c r="B203" i="3"/>
  <c r="T202" i="3"/>
  <c r="P202" i="3"/>
  <c r="X202" i="3" s="1"/>
  <c r="Z202" i="3" s="1"/>
  <c r="H202" i="3"/>
  <c r="D202" i="3"/>
  <c r="L202" i="3" s="1"/>
  <c r="N202" i="3" s="1"/>
  <c r="B202" i="3"/>
  <c r="X201" i="3"/>
  <c r="Z201" i="3" s="1"/>
  <c r="L201" i="3"/>
  <c r="N201" i="3" s="1"/>
  <c r="B201" i="3"/>
  <c r="Z200" i="3"/>
  <c r="X200" i="3"/>
  <c r="N200" i="3"/>
  <c r="L200" i="3"/>
  <c r="B200" i="3"/>
  <c r="X199" i="3"/>
  <c r="Z199" i="3" s="1"/>
  <c r="L199" i="3"/>
  <c r="N199" i="3" s="1"/>
  <c r="B199" i="3"/>
  <c r="T198" i="3"/>
  <c r="P198" i="3"/>
  <c r="X198" i="3" s="1"/>
  <c r="Z198" i="3" s="1"/>
  <c r="H198" i="3"/>
  <c r="D198" i="3"/>
  <c r="L198" i="3" s="1"/>
  <c r="N198" i="3" s="1"/>
  <c r="B198" i="3"/>
  <c r="X197" i="3"/>
  <c r="Z197" i="3" s="1"/>
  <c r="L197" i="3"/>
  <c r="N197" i="3" s="1"/>
  <c r="B197" i="3"/>
  <c r="Z196" i="3"/>
  <c r="X196" i="3"/>
  <c r="N196" i="3"/>
  <c r="L196" i="3"/>
  <c r="B196" i="3"/>
  <c r="X195" i="3"/>
  <c r="Z195" i="3" s="1"/>
  <c r="L195" i="3"/>
  <c r="N195" i="3" s="1"/>
  <c r="B195" i="3"/>
  <c r="Z194" i="3"/>
  <c r="X194" i="3"/>
  <c r="N194" i="3"/>
  <c r="L194" i="3"/>
  <c r="B194" i="3"/>
  <c r="X193" i="3"/>
  <c r="T193" i="3"/>
  <c r="Z193" i="3" s="1"/>
  <c r="P193" i="3"/>
  <c r="L193" i="3"/>
  <c r="H193" i="3"/>
  <c r="N193" i="3" s="1"/>
  <c r="D193" i="3"/>
  <c r="B193" i="3"/>
  <c r="Z192" i="3"/>
  <c r="X192" i="3"/>
  <c r="N192" i="3"/>
  <c r="L192" i="3"/>
  <c r="B192" i="3"/>
  <c r="X191" i="3"/>
  <c r="T191" i="3"/>
  <c r="P191" i="3"/>
  <c r="H191" i="3"/>
  <c r="D191" i="3"/>
  <c r="L191" i="3" s="1"/>
  <c r="B191" i="3"/>
  <c r="Z190" i="3"/>
  <c r="X190" i="3"/>
  <c r="N190" i="3"/>
  <c r="L190" i="3"/>
  <c r="B190" i="3"/>
  <c r="T189" i="3"/>
  <c r="P189" i="3"/>
  <c r="X189" i="3" s="1"/>
  <c r="H189" i="3"/>
  <c r="D189" i="3"/>
  <c r="L189" i="3" s="1"/>
  <c r="N189" i="3" s="1"/>
  <c r="B189" i="3"/>
  <c r="Z188" i="3"/>
  <c r="X188" i="3"/>
  <c r="N188" i="3"/>
  <c r="L188" i="3"/>
  <c r="B188" i="3"/>
  <c r="X187" i="3"/>
  <c r="Z187" i="3" s="1"/>
  <c r="L187" i="3"/>
  <c r="N187" i="3" s="1"/>
  <c r="B187" i="3"/>
  <c r="T186" i="3"/>
  <c r="X186" i="3" s="1"/>
  <c r="Z186" i="3" s="1"/>
  <c r="P186" i="3"/>
  <c r="N186" i="3"/>
  <c r="L186" i="3"/>
  <c r="H186" i="3"/>
  <c r="D186" i="3"/>
  <c r="B186" i="3"/>
  <c r="X185" i="3"/>
  <c r="Z185" i="3" s="1"/>
  <c r="L185" i="3"/>
  <c r="N185" i="3" s="1"/>
  <c r="B185" i="3"/>
  <c r="Z184" i="3"/>
  <c r="X184" i="3"/>
  <c r="T184" i="3"/>
  <c r="P184" i="3"/>
  <c r="H184" i="3"/>
  <c r="D184" i="3"/>
  <c r="L184" i="3" s="1"/>
  <c r="N184" i="3" s="1"/>
  <c r="B184" i="3"/>
  <c r="X183" i="3"/>
  <c r="Z183" i="3" s="1"/>
  <c r="L183" i="3"/>
  <c r="N183" i="3" s="1"/>
  <c r="B183" i="3"/>
  <c r="Z182" i="3"/>
  <c r="T182" i="3"/>
  <c r="P182" i="3"/>
  <c r="X182" i="3" s="1"/>
  <c r="H182" i="3"/>
  <c r="D182" i="3"/>
  <c r="L182" i="3" s="1"/>
  <c r="N182" i="3" s="1"/>
  <c r="B182" i="3"/>
  <c r="X181" i="3"/>
  <c r="Z181" i="3" s="1"/>
  <c r="L181" i="3"/>
  <c r="N181" i="3" s="1"/>
  <c r="B181" i="3"/>
  <c r="T180" i="3"/>
  <c r="P180" i="3"/>
  <c r="X180" i="3" s="1"/>
  <c r="Z180" i="3" s="1"/>
  <c r="H180" i="3"/>
  <c r="D180" i="3"/>
  <c r="L180" i="3" s="1"/>
  <c r="N180" i="3" s="1"/>
  <c r="B180" i="3"/>
  <c r="X179" i="3"/>
  <c r="Z179" i="3" s="1"/>
  <c r="L179" i="3"/>
  <c r="N179" i="3" s="1"/>
  <c r="B179" i="3"/>
  <c r="Z178" i="3"/>
  <c r="X178" i="3"/>
  <c r="N178" i="3"/>
  <c r="L178" i="3"/>
  <c r="B178" i="3"/>
  <c r="T177" i="3"/>
  <c r="P177" i="3"/>
  <c r="X177" i="3" s="1"/>
  <c r="H177" i="3"/>
  <c r="D177" i="3"/>
  <c r="L177" i="3" s="1"/>
  <c r="N177" i="3" s="1"/>
  <c r="B177" i="3"/>
  <c r="Z176" i="3"/>
  <c r="X176" i="3"/>
  <c r="L176" i="3"/>
  <c r="N176" i="3" s="1"/>
  <c r="B176" i="3"/>
  <c r="T175" i="3"/>
  <c r="P175" i="3"/>
  <c r="X175" i="3" s="1"/>
  <c r="Z175" i="3" s="1"/>
  <c r="L175" i="3"/>
  <c r="H175" i="3"/>
  <c r="N175" i="3" s="1"/>
  <c r="D175" i="3"/>
  <c r="B175" i="3"/>
  <c r="Z174" i="3"/>
  <c r="X174" i="3"/>
  <c r="N174" i="3"/>
  <c r="L174" i="3"/>
  <c r="B174" i="3"/>
  <c r="X173" i="3"/>
  <c r="T173" i="3"/>
  <c r="Z173" i="3" s="1"/>
  <c r="P173" i="3"/>
  <c r="L173" i="3"/>
  <c r="H173" i="3"/>
  <c r="N173" i="3" s="1"/>
  <c r="D173" i="3"/>
  <c r="B173" i="3"/>
  <c r="Z172" i="3"/>
  <c r="X172" i="3"/>
  <c r="N172" i="3"/>
  <c r="L172" i="3"/>
  <c r="B172" i="3"/>
  <c r="X171" i="3"/>
  <c r="T171" i="3"/>
  <c r="P171" i="3"/>
  <c r="H171" i="3"/>
  <c r="D171" i="3"/>
  <c r="L171" i="3" s="1"/>
  <c r="B171" i="3"/>
  <c r="Z170" i="3"/>
  <c r="X170" i="3"/>
  <c r="N170" i="3"/>
  <c r="L170" i="3"/>
  <c r="B170" i="3"/>
  <c r="Z169" i="3"/>
  <c r="X169" i="3"/>
  <c r="N169" i="3"/>
  <c r="L169" i="3"/>
  <c r="B169" i="3"/>
  <c r="Z168" i="3"/>
  <c r="T168" i="3"/>
  <c r="P168" i="3"/>
  <c r="X168" i="3" s="1"/>
  <c r="N168" i="3"/>
  <c r="H168" i="3"/>
  <c r="D168" i="3"/>
  <c r="L168" i="3" s="1"/>
  <c r="B168" i="3"/>
  <c r="X167" i="3"/>
  <c r="Z167" i="3" s="1"/>
  <c r="L167" i="3"/>
  <c r="N167" i="3" s="1"/>
  <c r="B167" i="3"/>
  <c r="Z166" i="3"/>
  <c r="X166" i="3"/>
  <c r="N166" i="3"/>
  <c r="L166" i="3"/>
  <c r="B166" i="3"/>
  <c r="T165" i="3"/>
  <c r="P165" i="3"/>
  <c r="X165" i="3" s="1"/>
  <c r="H165" i="3"/>
  <c r="D165" i="3"/>
  <c r="L165" i="3" s="1"/>
  <c r="N165" i="3" s="1"/>
  <c r="B165" i="3"/>
  <c r="Z164" i="3"/>
  <c r="X164" i="3"/>
  <c r="N164" i="3"/>
  <c r="L164" i="3"/>
  <c r="B164" i="3"/>
  <c r="T163" i="3"/>
  <c r="P163" i="3"/>
  <c r="X163" i="3" s="1"/>
  <c r="Z163" i="3" s="1"/>
  <c r="L163" i="3"/>
  <c r="H163" i="3"/>
  <c r="N163" i="3" s="1"/>
  <c r="D163" i="3"/>
  <c r="B163" i="3"/>
  <c r="Z162" i="3"/>
  <c r="X162" i="3"/>
  <c r="N162" i="3"/>
  <c r="L162" i="3"/>
  <c r="B162" i="3"/>
  <c r="X161" i="3"/>
  <c r="T161" i="3"/>
  <c r="Z161" i="3" s="1"/>
  <c r="P161" i="3"/>
  <c r="L161" i="3"/>
  <c r="H161" i="3"/>
  <c r="N161" i="3" s="1"/>
  <c r="D161" i="3"/>
  <c r="B161" i="3"/>
  <c r="Z160" i="3"/>
  <c r="X160" i="3"/>
  <c r="N160" i="3"/>
  <c r="L160" i="3"/>
  <c r="B160" i="3"/>
  <c r="X159" i="3"/>
  <c r="T159" i="3"/>
  <c r="Z159" i="3" s="1"/>
  <c r="P159" i="3"/>
  <c r="H159" i="3"/>
  <c r="D159" i="3"/>
  <c r="B159" i="3"/>
  <c r="Z158" i="3"/>
  <c r="X158" i="3"/>
  <c r="N158" i="3"/>
  <c r="L158" i="3"/>
  <c r="B158" i="3"/>
  <c r="X157" i="3"/>
  <c r="Z157" i="3" s="1"/>
  <c r="L157" i="3"/>
  <c r="N157" i="3" s="1"/>
  <c r="B157" i="3"/>
  <c r="Z156" i="3"/>
  <c r="X156" i="3"/>
  <c r="N156" i="3"/>
  <c r="L156" i="3"/>
  <c r="B156" i="3"/>
  <c r="X155" i="3"/>
  <c r="Z155" i="3" s="1"/>
  <c r="L155" i="3"/>
  <c r="N155" i="3" s="1"/>
  <c r="B155" i="3"/>
  <c r="Z154" i="3"/>
  <c r="X154" i="3"/>
  <c r="N154" i="3"/>
  <c r="L154" i="3"/>
  <c r="B154" i="3"/>
  <c r="X153" i="3"/>
  <c r="Z153" i="3" s="1"/>
  <c r="L153" i="3"/>
  <c r="N153" i="3" s="1"/>
  <c r="B153" i="3"/>
  <c r="Z152" i="3"/>
  <c r="X152" i="3"/>
  <c r="N152" i="3"/>
  <c r="L152" i="3"/>
  <c r="B152" i="3"/>
  <c r="T151" i="3"/>
  <c r="P151" i="3"/>
  <c r="X151" i="3" s="1"/>
  <c r="Z151" i="3" s="1"/>
  <c r="L151" i="3"/>
  <c r="H151" i="3"/>
  <c r="N151" i="3" s="1"/>
  <c r="D151" i="3"/>
  <c r="B151" i="3"/>
  <c r="Z150" i="3"/>
  <c r="X150" i="3"/>
  <c r="N150" i="3"/>
  <c r="L150" i="3"/>
  <c r="B150" i="3"/>
  <c r="X149" i="3"/>
  <c r="Z149" i="3" s="1"/>
  <c r="L149" i="3"/>
  <c r="N149" i="3" s="1"/>
  <c r="B149" i="3"/>
  <c r="Z148" i="3"/>
  <c r="X148" i="3"/>
  <c r="N148" i="3"/>
  <c r="L148" i="3"/>
  <c r="B148" i="3"/>
  <c r="X147" i="3"/>
  <c r="Z147" i="3" s="1"/>
  <c r="L147" i="3"/>
  <c r="N147" i="3" s="1"/>
  <c r="B147" i="3"/>
  <c r="Z146" i="3"/>
  <c r="X146" i="3"/>
  <c r="N146" i="3"/>
  <c r="L146" i="3"/>
  <c r="B146" i="3"/>
  <c r="X145" i="3"/>
  <c r="Z145" i="3" s="1"/>
  <c r="L145" i="3"/>
  <c r="N145" i="3" s="1"/>
  <c r="B145" i="3"/>
  <c r="Z144" i="3"/>
  <c r="X144" i="3"/>
  <c r="N144" i="3"/>
  <c r="L144" i="3"/>
  <c r="B144" i="3"/>
  <c r="X143" i="3"/>
  <c r="Z143" i="3" s="1"/>
  <c r="L143" i="3"/>
  <c r="N143" i="3" s="1"/>
  <c r="B143" i="3"/>
  <c r="Z142" i="3"/>
  <c r="X142" i="3"/>
  <c r="N142" i="3"/>
  <c r="L142" i="3"/>
  <c r="B142" i="3"/>
  <c r="X141" i="3"/>
  <c r="Z141" i="3" s="1"/>
  <c r="L141" i="3"/>
  <c r="N141" i="3" s="1"/>
  <c r="B141" i="3"/>
  <c r="Z140" i="3"/>
  <c r="X140" i="3"/>
  <c r="T140" i="3"/>
  <c r="P140" i="3"/>
  <c r="N140" i="3"/>
  <c r="H140" i="3"/>
  <c r="D140" i="3"/>
  <c r="L140" i="3" s="1"/>
  <c r="B140" i="3"/>
  <c r="X139" i="3"/>
  <c r="T139" i="3"/>
  <c r="Z139" i="3" s="1"/>
  <c r="P139" i="3"/>
  <c r="H139" i="3"/>
  <c r="D139" i="3"/>
  <c r="L139" i="3" s="1"/>
  <c r="Z135" i="3"/>
  <c r="X135" i="3"/>
  <c r="N135" i="3"/>
  <c r="L135" i="3"/>
  <c r="B135" i="3"/>
  <c r="Z134" i="3"/>
  <c r="X134" i="3"/>
  <c r="N134" i="3"/>
  <c r="L134" i="3"/>
  <c r="B134" i="3"/>
  <c r="X133" i="3"/>
  <c r="Z133" i="3" s="1"/>
  <c r="N133" i="3"/>
  <c r="L133" i="3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X128" i="3"/>
  <c r="Z128" i="3" s="1"/>
  <c r="N128" i="3"/>
  <c r="L128" i="3"/>
  <c r="B128" i="3"/>
  <c r="X127" i="3"/>
  <c r="Z127" i="3" s="1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X123" i="3"/>
  <c r="Z123" i="3" s="1"/>
  <c r="L123" i="3"/>
  <c r="N123" i="3" s="1"/>
  <c r="B123" i="3"/>
  <c r="Z122" i="3"/>
  <c r="X122" i="3"/>
  <c r="N122" i="3"/>
  <c r="L122" i="3"/>
  <c r="B122" i="3"/>
  <c r="X121" i="3"/>
  <c r="Z121" i="3" s="1"/>
  <c r="L121" i="3"/>
  <c r="N121" i="3" s="1"/>
  <c r="B121" i="3"/>
  <c r="X120" i="3"/>
  <c r="Z120" i="3" s="1"/>
  <c r="N120" i="3"/>
  <c r="L120" i="3"/>
  <c r="B120" i="3"/>
  <c r="Z119" i="3"/>
  <c r="X119" i="3"/>
  <c r="N119" i="3"/>
  <c r="L119" i="3"/>
  <c r="B119" i="3"/>
  <c r="Z118" i="3"/>
  <c r="X118" i="3"/>
  <c r="N118" i="3"/>
  <c r="L118" i="3"/>
  <c r="B118" i="3"/>
  <c r="X117" i="3"/>
  <c r="Z117" i="3" s="1"/>
  <c r="L117" i="3"/>
  <c r="N117" i="3" s="1"/>
  <c r="B117" i="3"/>
  <c r="Z116" i="3"/>
  <c r="X116" i="3"/>
  <c r="L116" i="3"/>
  <c r="N116" i="3" s="1"/>
  <c r="B116" i="3"/>
  <c r="X115" i="3"/>
  <c r="Z115" i="3" s="1"/>
  <c r="L115" i="3"/>
  <c r="N115" i="3" s="1"/>
  <c r="B115" i="3"/>
  <c r="Z114" i="3"/>
  <c r="X114" i="3"/>
  <c r="N114" i="3"/>
  <c r="L114" i="3"/>
  <c r="B114" i="3"/>
  <c r="X113" i="3"/>
  <c r="Z113" i="3" s="1"/>
  <c r="L113" i="3"/>
  <c r="N113" i="3" s="1"/>
  <c r="B113" i="3"/>
  <c r="X112" i="3"/>
  <c r="Z112" i="3" s="1"/>
  <c r="N112" i="3"/>
  <c r="L112" i="3"/>
  <c r="B112" i="3"/>
  <c r="X111" i="3"/>
  <c r="Z111" i="3" s="1"/>
  <c r="L111" i="3"/>
  <c r="N111" i="3" s="1"/>
  <c r="B111" i="3"/>
  <c r="Z110" i="3"/>
  <c r="X110" i="3"/>
  <c r="N110" i="3"/>
  <c r="L110" i="3"/>
  <c r="B110" i="3"/>
  <c r="X109" i="3"/>
  <c r="Z109" i="3" s="1"/>
  <c r="L109" i="3"/>
  <c r="N109" i="3" s="1"/>
  <c r="B109" i="3"/>
  <c r="Z108" i="3"/>
  <c r="X108" i="3"/>
  <c r="N108" i="3"/>
  <c r="L108" i="3"/>
  <c r="B108" i="3"/>
  <c r="X107" i="3"/>
  <c r="Z107" i="3" s="1"/>
  <c r="L107" i="3"/>
  <c r="N107" i="3" s="1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X103" i="3"/>
  <c r="Z103" i="3" s="1"/>
  <c r="N103" i="3"/>
  <c r="L103" i="3"/>
  <c r="B103" i="3"/>
  <c r="Z102" i="3"/>
  <c r="X102" i="3"/>
  <c r="N102" i="3"/>
  <c r="L102" i="3"/>
  <c r="B102" i="3"/>
  <c r="X101" i="3"/>
  <c r="Z101" i="3" s="1"/>
  <c r="N101" i="3"/>
  <c r="L101" i="3"/>
  <c r="B101" i="3"/>
  <c r="Z100" i="3"/>
  <c r="X100" i="3"/>
  <c r="N100" i="3"/>
  <c r="L100" i="3"/>
  <c r="B100" i="3"/>
  <c r="X99" i="3"/>
  <c r="Z99" i="3" s="1"/>
  <c r="L99" i="3"/>
  <c r="N99" i="3" s="1"/>
  <c r="B99" i="3"/>
  <c r="Z98" i="3"/>
  <c r="X98" i="3"/>
  <c r="N98" i="3"/>
  <c r="L98" i="3"/>
  <c r="B98" i="3"/>
  <c r="X97" i="3"/>
  <c r="Z97" i="3" s="1"/>
  <c r="L97" i="3"/>
  <c r="N97" i="3" s="1"/>
  <c r="B97" i="3"/>
  <c r="X96" i="3"/>
  <c r="Z96" i="3" s="1"/>
  <c r="N96" i="3"/>
  <c r="L96" i="3"/>
  <c r="B96" i="3"/>
  <c r="Z95" i="3"/>
  <c r="X95" i="3"/>
  <c r="N95" i="3"/>
  <c r="L95" i="3"/>
  <c r="B95" i="3"/>
  <c r="Z94" i="3"/>
  <c r="T94" i="3"/>
  <c r="P94" i="3"/>
  <c r="X94" i="3" s="1"/>
  <c r="H94" i="3"/>
  <c r="D94" i="3"/>
  <c r="L94" i="3" s="1"/>
  <c r="N94" i="3" s="1"/>
  <c r="T92" i="3"/>
  <c r="P92" i="3"/>
  <c r="X92" i="3" s="1"/>
  <c r="Z92" i="3" s="1"/>
  <c r="N92" i="3"/>
  <c r="H92" i="3"/>
  <c r="D92" i="3"/>
  <c r="L92" i="3" s="1"/>
  <c r="B92" i="3"/>
  <c r="T91" i="3"/>
  <c r="P91" i="3"/>
  <c r="X91" i="3" s="1"/>
  <c r="L91" i="3"/>
  <c r="H91" i="3"/>
  <c r="N91" i="3" s="1"/>
  <c r="D91" i="3"/>
  <c r="B91" i="3"/>
  <c r="T90" i="3"/>
  <c r="P90" i="3"/>
  <c r="N90" i="3"/>
  <c r="H90" i="3"/>
  <c r="L90" i="3" s="1"/>
  <c r="D90" i="3"/>
  <c r="B90" i="3"/>
  <c r="X89" i="3"/>
  <c r="Z89" i="3" s="1"/>
  <c r="T89" i="3"/>
  <c r="P89" i="3"/>
  <c r="L89" i="3"/>
  <c r="N89" i="3" s="1"/>
  <c r="H89" i="3"/>
  <c r="D89" i="3"/>
  <c r="B89" i="3"/>
  <c r="T88" i="3"/>
  <c r="P88" i="3"/>
  <c r="X88" i="3" s="1"/>
  <c r="Z88" i="3" s="1"/>
  <c r="H88" i="3"/>
  <c r="D88" i="3"/>
  <c r="L88" i="3" s="1"/>
  <c r="N88" i="3" s="1"/>
  <c r="B88" i="3"/>
  <c r="X87" i="3"/>
  <c r="T87" i="3"/>
  <c r="Z87" i="3" s="1"/>
  <c r="P87" i="3"/>
  <c r="H87" i="3"/>
  <c r="D87" i="3"/>
  <c r="L87" i="3" s="1"/>
  <c r="B87" i="3"/>
  <c r="T86" i="3"/>
  <c r="X86" i="3" s="1"/>
  <c r="Z86" i="3" s="1"/>
  <c r="P86" i="3"/>
  <c r="H86" i="3"/>
  <c r="D86" i="3"/>
  <c r="B86" i="3"/>
  <c r="Z85" i="3"/>
  <c r="X85" i="3"/>
  <c r="T85" i="3"/>
  <c r="P85" i="3"/>
  <c r="N85" i="3"/>
  <c r="L85" i="3"/>
  <c r="H85" i="3"/>
  <c r="D85" i="3"/>
  <c r="B85" i="3"/>
  <c r="T84" i="3"/>
  <c r="P84" i="3"/>
  <c r="X84" i="3" s="1"/>
  <c r="Z84" i="3" s="1"/>
  <c r="H84" i="3"/>
  <c r="D84" i="3"/>
  <c r="L84" i="3" s="1"/>
  <c r="N84" i="3" s="1"/>
  <c r="B84" i="3"/>
  <c r="T83" i="3"/>
  <c r="P83" i="3"/>
  <c r="X83" i="3" s="1"/>
  <c r="L83" i="3"/>
  <c r="H83" i="3"/>
  <c r="N83" i="3" s="1"/>
  <c r="D83" i="3"/>
  <c r="B83" i="3"/>
  <c r="T82" i="3"/>
  <c r="P82" i="3"/>
  <c r="H82" i="3"/>
  <c r="L82" i="3" s="1"/>
  <c r="N82" i="3" s="1"/>
  <c r="D82" i="3"/>
  <c r="B82" i="3"/>
  <c r="X81" i="3"/>
  <c r="Z81" i="3" s="1"/>
  <c r="T81" i="3"/>
  <c r="P81" i="3"/>
  <c r="L81" i="3"/>
  <c r="N81" i="3" s="1"/>
  <c r="H81" i="3"/>
  <c r="D81" i="3"/>
  <c r="B81" i="3"/>
  <c r="Z80" i="3"/>
  <c r="T80" i="3"/>
  <c r="P80" i="3"/>
  <c r="X80" i="3" s="1"/>
  <c r="H80" i="3"/>
  <c r="D80" i="3"/>
  <c r="L80" i="3" s="1"/>
  <c r="N80" i="3" s="1"/>
  <c r="B80" i="3"/>
  <c r="X79" i="3"/>
  <c r="T79" i="3"/>
  <c r="Z79" i="3" s="1"/>
  <c r="P79" i="3"/>
  <c r="H79" i="3"/>
  <c r="D79" i="3"/>
  <c r="L79" i="3" s="1"/>
  <c r="B79" i="3"/>
  <c r="T78" i="3"/>
  <c r="X78" i="3" s="1"/>
  <c r="Z78" i="3" s="1"/>
  <c r="P78" i="3"/>
  <c r="H78" i="3"/>
  <c r="D78" i="3"/>
  <c r="B78" i="3"/>
  <c r="X77" i="3"/>
  <c r="Z77" i="3" s="1"/>
  <c r="T77" i="3"/>
  <c r="P77" i="3"/>
  <c r="L77" i="3"/>
  <c r="N77" i="3" s="1"/>
  <c r="H77" i="3"/>
  <c r="D77" i="3"/>
  <c r="B77" i="3"/>
  <c r="T76" i="3"/>
  <c r="P76" i="3"/>
  <c r="X76" i="3" s="1"/>
  <c r="Z76" i="3" s="1"/>
  <c r="H76" i="3"/>
  <c r="D76" i="3"/>
  <c r="L76" i="3" s="1"/>
  <c r="N76" i="3" s="1"/>
  <c r="B76" i="3"/>
  <c r="T75" i="3"/>
  <c r="P75" i="3"/>
  <c r="X75" i="3" s="1"/>
  <c r="L75" i="3"/>
  <c r="H75" i="3"/>
  <c r="N75" i="3" s="1"/>
  <c r="D75" i="3"/>
  <c r="B75" i="3"/>
  <c r="T74" i="3"/>
  <c r="P74" i="3"/>
  <c r="H74" i="3"/>
  <c r="L74" i="3" s="1"/>
  <c r="N74" i="3" s="1"/>
  <c r="D74" i="3"/>
  <c r="B74" i="3"/>
  <c r="X73" i="3"/>
  <c r="Z73" i="3" s="1"/>
  <c r="T73" i="3"/>
  <c r="P73" i="3"/>
  <c r="L73" i="3"/>
  <c r="N73" i="3" s="1"/>
  <c r="H73" i="3"/>
  <c r="D73" i="3"/>
  <c r="B73" i="3"/>
  <c r="Z72" i="3"/>
  <c r="T72" i="3"/>
  <c r="P72" i="3"/>
  <c r="X72" i="3" s="1"/>
  <c r="N72" i="3"/>
  <c r="H72" i="3"/>
  <c r="D72" i="3"/>
  <c r="L72" i="3" s="1"/>
  <c r="B72" i="3"/>
  <c r="X71" i="3"/>
  <c r="T71" i="3"/>
  <c r="Z71" i="3" s="1"/>
  <c r="P71" i="3"/>
  <c r="H71" i="3"/>
  <c r="N71" i="3" s="1"/>
  <c r="D71" i="3"/>
  <c r="L71" i="3" s="1"/>
  <c r="B71" i="3"/>
  <c r="T70" i="3"/>
  <c r="X70" i="3" s="1"/>
  <c r="Z70" i="3" s="1"/>
  <c r="P70" i="3"/>
  <c r="H70" i="3"/>
  <c r="D70" i="3"/>
  <c r="B70" i="3"/>
  <c r="X69" i="3"/>
  <c r="Z69" i="3" s="1"/>
  <c r="T69" i="3"/>
  <c r="P69" i="3"/>
  <c r="L69" i="3"/>
  <c r="N69" i="3" s="1"/>
  <c r="H69" i="3"/>
  <c r="D69" i="3"/>
  <c r="B69" i="3"/>
  <c r="Z68" i="3"/>
  <c r="T68" i="3"/>
  <c r="P68" i="3"/>
  <c r="X68" i="3" s="1"/>
  <c r="N68" i="3"/>
  <c r="H68" i="3"/>
  <c r="D68" i="3"/>
  <c r="L68" i="3" s="1"/>
  <c r="B68" i="3"/>
  <c r="T67" i="3"/>
  <c r="Z67" i="3" s="1"/>
  <c r="P67" i="3"/>
  <c r="X67" i="3" s="1"/>
  <c r="L67" i="3"/>
  <c r="H67" i="3"/>
  <c r="N67" i="3" s="1"/>
  <c r="D67" i="3"/>
  <c r="B67" i="3"/>
  <c r="T66" i="3"/>
  <c r="P66" i="3"/>
  <c r="H66" i="3"/>
  <c r="L66" i="3" s="1"/>
  <c r="N66" i="3" s="1"/>
  <c r="D66" i="3"/>
  <c r="B66" i="3"/>
  <c r="X65" i="3"/>
  <c r="Z65" i="3" s="1"/>
  <c r="T65" i="3"/>
  <c r="P65" i="3"/>
  <c r="L65" i="3"/>
  <c r="N65" i="3" s="1"/>
  <c r="H65" i="3"/>
  <c r="D65" i="3"/>
  <c r="B65" i="3"/>
  <c r="T64" i="3"/>
  <c r="P64" i="3"/>
  <c r="X64" i="3" s="1"/>
  <c r="Z64" i="3" s="1"/>
  <c r="H64" i="3"/>
  <c r="D64" i="3"/>
  <c r="L64" i="3" s="1"/>
  <c r="N64" i="3" s="1"/>
  <c r="B64" i="3"/>
  <c r="X63" i="3"/>
  <c r="T63" i="3"/>
  <c r="Z63" i="3" s="1"/>
  <c r="P63" i="3"/>
  <c r="H63" i="3"/>
  <c r="D63" i="3"/>
  <c r="L63" i="3" s="1"/>
  <c r="B63" i="3"/>
  <c r="T62" i="3"/>
  <c r="X62" i="3" s="1"/>
  <c r="Z62" i="3" s="1"/>
  <c r="P62" i="3"/>
  <c r="H62" i="3"/>
  <c r="D62" i="3"/>
  <c r="B62" i="3"/>
  <c r="X61" i="3"/>
  <c r="Z61" i="3" s="1"/>
  <c r="T61" i="3"/>
  <c r="P61" i="3"/>
  <c r="L61" i="3"/>
  <c r="N61" i="3" s="1"/>
  <c r="H61" i="3"/>
  <c r="D61" i="3"/>
  <c r="B61" i="3"/>
  <c r="T60" i="3"/>
  <c r="P60" i="3"/>
  <c r="X60" i="3" s="1"/>
  <c r="Z60" i="3" s="1"/>
  <c r="N60" i="3"/>
  <c r="H60" i="3"/>
  <c r="D60" i="3"/>
  <c r="L60" i="3" s="1"/>
  <c r="B60" i="3"/>
  <c r="T59" i="3"/>
  <c r="Z59" i="3" s="1"/>
  <c r="P59" i="3"/>
  <c r="X59" i="3" s="1"/>
  <c r="L59" i="3"/>
  <c r="H59" i="3"/>
  <c r="N59" i="3" s="1"/>
  <c r="D59" i="3"/>
  <c r="B59" i="3"/>
  <c r="T58" i="3"/>
  <c r="P58" i="3"/>
  <c r="H58" i="3"/>
  <c r="L58" i="3" s="1"/>
  <c r="N58" i="3" s="1"/>
  <c r="D58" i="3"/>
  <c r="B58" i="3"/>
  <c r="X57" i="3"/>
  <c r="Z57" i="3" s="1"/>
  <c r="T57" i="3"/>
  <c r="P57" i="3"/>
  <c r="L57" i="3"/>
  <c r="N57" i="3" s="1"/>
  <c r="H57" i="3"/>
  <c r="D57" i="3"/>
  <c r="B57" i="3"/>
  <c r="T56" i="3"/>
  <c r="P56" i="3"/>
  <c r="X56" i="3" s="1"/>
  <c r="Z56" i="3" s="1"/>
  <c r="H56" i="3"/>
  <c r="D56" i="3"/>
  <c r="L56" i="3" s="1"/>
  <c r="N56" i="3" s="1"/>
  <c r="B56" i="3"/>
  <c r="X55" i="3"/>
  <c r="T55" i="3"/>
  <c r="Z55" i="3" s="1"/>
  <c r="P55" i="3"/>
  <c r="H55" i="3"/>
  <c r="D55" i="3"/>
  <c r="L55" i="3" s="1"/>
  <c r="B55" i="3"/>
  <c r="T54" i="3"/>
  <c r="X54" i="3" s="1"/>
  <c r="Z54" i="3" s="1"/>
  <c r="P54" i="3"/>
  <c r="H54" i="3"/>
  <c r="D54" i="3"/>
  <c r="B54" i="3"/>
  <c r="X53" i="3"/>
  <c r="Z53" i="3" s="1"/>
  <c r="T53" i="3"/>
  <c r="P53" i="3"/>
  <c r="L53" i="3"/>
  <c r="N53" i="3" s="1"/>
  <c r="H53" i="3"/>
  <c r="D53" i="3"/>
  <c r="B53" i="3"/>
  <c r="T52" i="3"/>
  <c r="P52" i="3"/>
  <c r="X52" i="3" s="1"/>
  <c r="Z52" i="3" s="1"/>
  <c r="N52" i="3"/>
  <c r="H52" i="3"/>
  <c r="D52" i="3"/>
  <c r="L52" i="3" s="1"/>
  <c r="B52" i="3"/>
  <c r="T51" i="3"/>
  <c r="Z51" i="3" s="1"/>
  <c r="P51" i="3"/>
  <c r="X51" i="3" s="1"/>
  <c r="L51" i="3"/>
  <c r="H51" i="3"/>
  <c r="N51" i="3" s="1"/>
  <c r="D51" i="3"/>
  <c r="B51" i="3"/>
  <c r="T50" i="3"/>
  <c r="P50" i="3"/>
  <c r="H50" i="3"/>
  <c r="L50" i="3" s="1"/>
  <c r="N50" i="3" s="1"/>
  <c r="D50" i="3"/>
  <c r="B50" i="3"/>
  <c r="X49" i="3"/>
  <c r="Z49" i="3" s="1"/>
  <c r="T49" i="3"/>
  <c r="P49" i="3"/>
  <c r="L49" i="3"/>
  <c r="N49" i="3" s="1"/>
  <c r="H49" i="3"/>
  <c r="D49" i="3"/>
  <c r="B49" i="3"/>
  <c r="T48" i="3"/>
  <c r="P48" i="3"/>
  <c r="X48" i="3" s="1"/>
  <c r="Z48" i="3" s="1"/>
  <c r="H48" i="3"/>
  <c r="D48" i="3"/>
  <c r="L48" i="3" s="1"/>
  <c r="N48" i="3" s="1"/>
  <c r="B48" i="3"/>
  <c r="X47" i="3"/>
  <c r="T47" i="3"/>
  <c r="Z47" i="3" s="1"/>
  <c r="P47" i="3"/>
  <c r="H47" i="3"/>
  <c r="D47" i="3"/>
  <c r="L47" i="3" s="1"/>
  <c r="B47" i="3"/>
  <c r="T46" i="3"/>
  <c r="X46" i="3" s="1"/>
  <c r="Z46" i="3" s="1"/>
  <c r="P46" i="3"/>
  <c r="H46" i="3"/>
  <c r="D46" i="3"/>
  <c r="B46" i="3"/>
  <c r="X45" i="3"/>
  <c r="Z45" i="3" s="1"/>
  <c r="T45" i="3"/>
  <c r="P45" i="3"/>
  <c r="L45" i="3"/>
  <c r="N45" i="3" s="1"/>
  <c r="H45" i="3"/>
  <c r="D45" i="3"/>
  <c r="B45" i="3"/>
  <c r="T44" i="3"/>
  <c r="P44" i="3"/>
  <c r="X44" i="3" s="1"/>
  <c r="Z44" i="3" s="1"/>
  <c r="H44" i="3"/>
  <c r="D44" i="3"/>
  <c r="L44" i="3" s="1"/>
  <c r="N44" i="3" s="1"/>
  <c r="B44" i="3"/>
  <c r="T43" i="3"/>
  <c r="Z43" i="3" s="1"/>
  <c r="P43" i="3"/>
  <c r="X43" i="3" s="1"/>
  <c r="L43" i="3"/>
  <c r="H43" i="3"/>
  <c r="N43" i="3" s="1"/>
  <c r="D43" i="3"/>
  <c r="B43" i="3"/>
  <c r="T42" i="3"/>
  <c r="P42" i="3"/>
  <c r="H42" i="3"/>
  <c r="L42" i="3" s="1"/>
  <c r="N42" i="3" s="1"/>
  <c r="D42" i="3"/>
  <c r="B42" i="3"/>
  <c r="X41" i="3"/>
  <c r="Z41" i="3" s="1"/>
  <c r="T41" i="3"/>
  <c r="P41" i="3"/>
  <c r="L41" i="3"/>
  <c r="N41" i="3" s="1"/>
  <c r="H41" i="3"/>
  <c r="D41" i="3"/>
  <c r="B41" i="3"/>
  <c r="T40" i="3"/>
  <c r="P40" i="3"/>
  <c r="X40" i="3" s="1"/>
  <c r="Z40" i="3" s="1"/>
  <c r="H40" i="3"/>
  <c r="D40" i="3"/>
  <c r="L40" i="3" s="1"/>
  <c r="N40" i="3" s="1"/>
  <c r="B40" i="3"/>
  <c r="X39" i="3"/>
  <c r="T39" i="3"/>
  <c r="Z39" i="3" s="1"/>
  <c r="P39" i="3"/>
  <c r="H39" i="3"/>
  <c r="D39" i="3"/>
  <c r="L39" i="3" s="1"/>
  <c r="B39" i="3"/>
  <c r="T38" i="3"/>
  <c r="X38" i="3" s="1"/>
  <c r="Z38" i="3" s="1"/>
  <c r="P38" i="3"/>
  <c r="H38" i="3"/>
  <c r="D38" i="3"/>
  <c r="B38" i="3"/>
  <c r="X37" i="3"/>
  <c r="Z37" i="3" s="1"/>
  <c r="T37" i="3"/>
  <c r="P37" i="3"/>
  <c r="L37" i="3"/>
  <c r="N37" i="3" s="1"/>
  <c r="H37" i="3"/>
  <c r="D37" i="3"/>
  <c r="B37" i="3"/>
  <c r="T36" i="3"/>
  <c r="P36" i="3"/>
  <c r="X36" i="3" s="1"/>
  <c r="Z36" i="3" s="1"/>
  <c r="H36" i="3"/>
  <c r="D36" i="3"/>
  <c r="L36" i="3" s="1"/>
  <c r="N36" i="3" s="1"/>
  <c r="B36" i="3"/>
  <c r="T35" i="3"/>
  <c r="Z35" i="3" s="1"/>
  <c r="P35" i="3"/>
  <c r="X35" i="3" s="1"/>
  <c r="L35" i="3"/>
  <c r="H35" i="3"/>
  <c r="N35" i="3" s="1"/>
  <c r="D35" i="3"/>
  <c r="B35" i="3"/>
  <c r="T34" i="3"/>
  <c r="P34" i="3"/>
  <c r="H34" i="3"/>
  <c r="L34" i="3" s="1"/>
  <c r="N34" i="3" s="1"/>
  <c r="D34" i="3"/>
  <c r="B34" i="3"/>
  <c r="X33" i="3"/>
  <c r="Z33" i="3" s="1"/>
  <c r="T33" i="3"/>
  <c r="P33" i="3"/>
  <c r="L33" i="3"/>
  <c r="N33" i="3" s="1"/>
  <c r="H33" i="3"/>
  <c r="D33" i="3"/>
  <c r="B33" i="3"/>
  <c r="T32" i="3"/>
  <c r="P32" i="3"/>
  <c r="X32" i="3" s="1"/>
  <c r="Z32" i="3" s="1"/>
  <c r="H32" i="3"/>
  <c r="D32" i="3"/>
  <c r="L32" i="3" s="1"/>
  <c r="N32" i="3" s="1"/>
  <c r="B32" i="3"/>
  <c r="X31" i="3"/>
  <c r="T31" i="3"/>
  <c r="Z31" i="3" s="1"/>
  <c r="P31" i="3"/>
  <c r="H31" i="3"/>
  <c r="N31" i="3" s="1"/>
  <c r="D31" i="3"/>
  <c r="L31" i="3" s="1"/>
  <c r="B31" i="3"/>
  <c r="T30" i="3"/>
  <c r="X30" i="3" s="1"/>
  <c r="Z30" i="3" s="1"/>
  <c r="P30" i="3"/>
  <c r="H30" i="3"/>
  <c r="D30" i="3"/>
  <c r="B30" i="3"/>
  <c r="X29" i="3"/>
  <c r="Z29" i="3" s="1"/>
  <c r="T29" i="3"/>
  <c r="P29" i="3"/>
  <c r="L29" i="3"/>
  <c r="N29" i="3" s="1"/>
  <c r="H29" i="3"/>
  <c r="D29" i="3"/>
  <c r="B29" i="3"/>
  <c r="T28" i="3"/>
  <c r="P28" i="3"/>
  <c r="X28" i="3" s="1"/>
  <c r="Z28" i="3" s="1"/>
  <c r="H28" i="3"/>
  <c r="D28" i="3"/>
  <c r="L28" i="3" s="1"/>
  <c r="N28" i="3" s="1"/>
  <c r="B28" i="3"/>
  <c r="T27" i="3"/>
  <c r="Z27" i="3" s="1"/>
  <c r="P27" i="3"/>
  <c r="X27" i="3" s="1"/>
  <c r="L27" i="3"/>
  <c r="H27" i="3"/>
  <c r="N27" i="3" s="1"/>
  <c r="D27" i="3"/>
  <c r="B27" i="3"/>
  <c r="T26" i="3"/>
  <c r="P26" i="3"/>
  <c r="N26" i="3"/>
  <c r="H26" i="3"/>
  <c r="L26" i="3" s="1"/>
  <c r="D26" i="3"/>
  <c r="B26" i="3"/>
  <c r="X25" i="3"/>
  <c r="Z25" i="3" s="1"/>
  <c r="T25" i="3"/>
  <c r="P25" i="3"/>
  <c r="L25" i="3"/>
  <c r="N25" i="3" s="1"/>
  <c r="H25" i="3"/>
  <c r="D25" i="3"/>
  <c r="B25" i="3"/>
  <c r="Z24" i="3"/>
  <c r="T24" i="3"/>
  <c r="P24" i="3"/>
  <c r="X24" i="3" s="1"/>
  <c r="H24" i="3"/>
  <c r="D24" i="3"/>
  <c r="L24" i="3" s="1"/>
  <c r="N24" i="3" s="1"/>
  <c r="B24" i="3"/>
  <c r="X23" i="3"/>
  <c r="T23" i="3"/>
  <c r="Z23" i="3" s="1"/>
  <c r="P23" i="3"/>
  <c r="H23" i="3"/>
  <c r="N23" i="3" s="1"/>
  <c r="D23" i="3"/>
  <c r="L23" i="3" s="1"/>
  <c r="B23" i="3"/>
  <c r="T22" i="3"/>
  <c r="X22" i="3" s="1"/>
  <c r="Z22" i="3" s="1"/>
  <c r="P22" i="3"/>
  <c r="H22" i="3"/>
  <c r="D22" i="3"/>
  <c r="B22" i="3"/>
  <c r="X21" i="3"/>
  <c r="Z21" i="3" s="1"/>
  <c r="T21" i="3"/>
  <c r="P21" i="3"/>
  <c r="N21" i="3"/>
  <c r="L21" i="3"/>
  <c r="H21" i="3"/>
  <c r="D21" i="3"/>
  <c r="B21" i="3"/>
  <c r="T20" i="3"/>
  <c r="P20" i="3"/>
  <c r="X20" i="3" s="1"/>
  <c r="Z20" i="3" s="1"/>
  <c r="H20" i="3"/>
  <c r="D20" i="3"/>
  <c r="L20" i="3" s="1"/>
  <c r="N20" i="3" s="1"/>
  <c r="B20" i="3"/>
  <c r="T19" i="3"/>
  <c r="P19" i="3"/>
  <c r="X19" i="3" s="1"/>
  <c r="L19" i="3"/>
  <c r="H19" i="3"/>
  <c r="N19" i="3" s="1"/>
  <c r="D19" i="3"/>
  <c r="B19" i="3"/>
  <c r="T18" i="3"/>
  <c r="P18" i="3"/>
  <c r="H18" i="3"/>
  <c r="L18" i="3" s="1"/>
  <c r="N18" i="3" s="1"/>
  <c r="D18" i="3"/>
  <c r="B18" i="3"/>
  <c r="X17" i="3"/>
  <c r="Z17" i="3" s="1"/>
  <c r="T17" i="3"/>
  <c r="P17" i="3"/>
  <c r="L17" i="3"/>
  <c r="N17" i="3" s="1"/>
  <c r="H17" i="3"/>
  <c r="D17" i="3"/>
  <c r="B17" i="3"/>
  <c r="T16" i="3"/>
  <c r="P16" i="3"/>
  <c r="X16" i="3" s="1"/>
  <c r="Z16" i="3" s="1"/>
  <c r="H16" i="3"/>
  <c r="D16" i="3"/>
  <c r="L16" i="3" s="1"/>
  <c r="N16" i="3" s="1"/>
  <c r="B16" i="3"/>
  <c r="X15" i="3"/>
  <c r="T15" i="3"/>
  <c r="Z15" i="3" s="1"/>
  <c r="P15" i="3"/>
  <c r="P12" i="3" s="1"/>
  <c r="R169" i="3" s="1"/>
  <c r="H15" i="3"/>
  <c r="D15" i="3"/>
  <c r="L15" i="3" s="1"/>
  <c r="B15" i="3"/>
  <c r="T14" i="3"/>
  <c r="X14" i="3" s="1"/>
  <c r="Z14" i="3" s="1"/>
  <c r="P14" i="3"/>
  <c r="H14" i="3"/>
  <c r="D14" i="3"/>
  <c r="B14" i="3"/>
  <c r="X13" i="3"/>
  <c r="Z13" i="3" s="1"/>
  <c r="T13" i="3"/>
  <c r="P13" i="3"/>
  <c r="L13" i="3"/>
  <c r="N13" i="3" s="1"/>
  <c r="H13" i="3"/>
  <c r="D13" i="3"/>
  <c r="B13" i="3"/>
  <c r="D4" i="3"/>
  <c r="X29" i="31" l="1"/>
  <c r="X24" i="32"/>
  <c r="L15" i="34"/>
  <c r="X21" i="37"/>
  <c r="L29" i="37"/>
  <c r="L34" i="37"/>
  <c r="L15" i="43"/>
  <c r="X21" i="43"/>
  <c r="L29" i="43"/>
  <c r="L34" i="43"/>
  <c r="X13" i="23"/>
  <c r="L21" i="23"/>
  <c r="X25" i="23"/>
  <c r="X33" i="23"/>
  <c r="L16" i="25"/>
  <c r="X22" i="25"/>
  <c r="L33" i="26"/>
  <c r="X15" i="28"/>
  <c r="L21" i="7"/>
  <c r="X15" i="19"/>
  <c r="L13" i="22"/>
  <c r="X24" i="26"/>
  <c r="X13" i="29"/>
  <c r="L21" i="29"/>
  <c r="X25" i="29"/>
  <c r="X33" i="29"/>
  <c r="L24" i="31"/>
  <c r="L25" i="32"/>
  <c r="L33" i="32"/>
  <c r="X15" i="41"/>
  <c r="X21" i="46"/>
  <c r="L34" i="46"/>
  <c r="L29" i="14"/>
  <c r="L34" i="14"/>
  <c r="X29" i="17"/>
  <c r="X34" i="17"/>
  <c r="L25" i="26"/>
  <c r="X21" i="34"/>
  <c r="L22" i="31"/>
  <c r="X34" i="50"/>
  <c r="X25" i="14"/>
  <c r="L15" i="17"/>
  <c r="X21" i="17"/>
  <c r="L16" i="99"/>
  <c r="X25" i="4"/>
  <c r="L33" i="14"/>
  <c r="X13" i="17"/>
  <c r="L21" i="17"/>
  <c r="X25" i="17"/>
  <c r="X33" i="17"/>
  <c r="L13" i="20"/>
  <c r="X29" i="50"/>
  <c r="X20" i="4"/>
  <c r="L22" i="4"/>
  <c r="X15" i="13"/>
  <c r="X29" i="13"/>
  <c r="X24" i="14"/>
  <c r="L25" i="16"/>
  <c r="L33" i="16"/>
  <c r="L22" i="17"/>
  <c r="L16" i="32"/>
  <c r="L25" i="34"/>
  <c r="X20" i="35"/>
  <c r="L22" i="35"/>
  <c r="L25" i="37"/>
  <c r="L13" i="40"/>
  <c r="L25" i="40"/>
  <c r="L33" i="40"/>
  <c r="L33" i="43"/>
  <c r="X33" i="49"/>
  <c r="L15" i="52"/>
  <c r="L29" i="52"/>
  <c r="L34" i="52"/>
  <c r="X16" i="53"/>
  <c r="X21" i="5"/>
  <c r="L29" i="5"/>
  <c r="L34" i="5"/>
  <c r="L24" i="11"/>
  <c r="L21" i="20"/>
  <c r="X25" i="20"/>
  <c r="X33" i="20"/>
  <c r="L34" i="23"/>
  <c r="X34" i="4"/>
  <c r="X20" i="5"/>
  <c r="L25" i="22"/>
  <c r="L29" i="34"/>
  <c r="X22" i="52"/>
  <c r="X16" i="52"/>
  <c r="X29" i="10"/>
  <c r="X21" i="98"/>
  <c r="X25" i="5"/>
  <c r="L20" i="22"/>
  <c r="X21" i="23"/>
  <c r="X20" i="13"/>
  <c r="X25" i="16"/>
  <c r="L16" i="22"/>
  <c r="X22" i="22"/>
  <c r="X15" i="26"/>
  <c r="L24" i="29"/>
  <c r="X13" i="34"/>
  <c r="L21" i="34"/>
  <c r="X33" i="34"/>
  <c r="L16" i="35"/>
  <c r="X22" i="35"/>
  <c r="X13" i="37"/>
  <c r="L21" i="37"/>
  <c r="X25" i="37"/>
  <c r="L16" i="41"/>
  <c r="L21" i="43"/>
  <c r="X25" i="43"/>
  <c r="X33" i="43"/>
  <c r="X22" i="44"/>
  <c r="X15" i="47"/>
  <c r="X34" i="47"/>
  <c r="L29" i="49"/>
  <c r="L34" i="49"/>
  <c r="X24" i="53"/>
  <c r="L25" i="97"/>
  <c r="X34" i="98"/>
  <c r="L16" i="46"/>
  <c r="R15" i="99"/>
  <c r="L25" i="5"/>
  <c r="L13" i="7"/>
  <c r="L25" i="7"/>
  <c r="L25" i="10"/>
  <c r="L33" i="10"/>
  <c r="L13" i="13"/>
  <c r="X29" i="14"/>
  <c r="X15" i="23"/>
  <c r="X29" i="23"/>
  <c r="X34" i="23"/>
  <c r="L20" i="25"/>
  <c r="X21" i="26"/>
  <c r="X13" i="28"/>
  <c r="L21" i="28"/>
  <c r="X25" i="28"/>
  <c r="X33" i="28"/>
  <c r="X22" i="29"/>
  <c r="X15" i="34"/>
  <c r="L20" i="35"/>
  <c r="X15" i="37"/>
  <c r="X29" i="37"/>
  <c r="X34" i="40"/>
  <c r="L20" i="44"/>
  <c r="X16" i="46"/>
  <c r="L24" i="46"/>
  <c r="X25" i="47"/>
  <c r="X33" i="47"/>
  <c r="L25" i="49"/>
  <c r="L33" i="49"/>
  <c r="L21" i="52"/>
  <c r="X21" i="97"/>
  <c r="L29" i="97"/>
  <c r="X13" i="98"/>
  <c r="X21" i="4"/>
  <c r="L29" i="4"/>
  <c r="L24" i="5"/>
  <c r="X13" i="8"/>
  <c r="X25" i="8"/>
  <c r="X33" i="8"/>
  <c r="X21" i="16"/>
  <c r="L29" i="16"/>
  <c r="L34" i="16"/>
  <c r="X16" i="17"/>
  <c r="L24" i="17"/>
  <c r="L21" i="22"/>
  <c r="X25" i="22"/>
  <c r="X22" i="23"/>
  <c r="L13" i="25"/>
  <c r="L33" i="25"/>
  <c r="L22" i="26"/>
  <c r="L20" i="28"/>
  <c r="X24" i="28"/>
  <c r="L15" i="29"/>
  <c r="X21" i="31"/>
  <c r="L29" i="31"/>
  <c r="L13" i="35"/>
  <c r="L33" i="35"/>
  <c r="L13" i="38"/>
  <c r="X22" i="40"/>
  <c r="L13" i="44"/>
  <c r="X15" i="46"/>
  <c r="X24" i="47"/>
  <c r="L24" i="49"/>
  <c r="L21" i="50"/>
  <c r="L20" i="52"/>
  <c r="X12" i="5"/>
  <c r="L20" i="7"/>
  <c r="X24" i="7"/>
  <c r="L20" i="10"/>
  <c r="L34" i="11"/>
  <c r="L20" i="13"/>
  <c r="X21" i="14"/>
  <c r="L24" i="14"/>
  <c r="X15" i="16"/>
  <c r="L15" i="22"/>
  <c r="L15" i="32"/>
  <c r="L34" i="32"/>
  <c r="L24" i="34"/>
  <c r="X25" i="35"/>
  <c r="X33" i="35"/>
  <c r="X13" i="41"/>
  <c r="L21" i="44"/>
  <c r="L13" i="46"/>
  <c r="L33" i="46"/>
  <c r="X20" i="47"/>
  <c r="X34" i="53"/>
  <c r="X16" i="4"/>
  <c r="L24" i="4"/>
  <c r="L33" i="8"/>
  <c r="X22" i="10"/>
  <c r="L25" i="11"/>
  <c r="L33" i="11"/>
  <c r="X24" i="19"/>
  <c r="X21" i="20"/>
  <c r="L29" i="20"/>
  <c r="L34" i="20"/>
  <c r="X20" i="22"/>
  <c r="L16" i="28"/>
  <c r="X22" i="28"/>
  <c r="L13" i="29"/>
  <c r="L16" i="31"/>
  <c r="L25" i="31"/>
  <c r="X29" i="32"/>
  <c r="X24" i="34"/>
  <c r="X21" i="35"/>
  <c r="L29" i="35"/>
  <c r="L34" i="35"/>
  <c r="L20" i="37"/>
  <c r="L15" i="38"/>
  <c r="X21" i="38"/>
  <c r="L29" i="38"/>
  <c r="L34" i="38"/>
  <c r="X24" i="40"/>
  <c r="L34" i="41"/>
  <c r="P18" i="43"/>
  <c r="P27" i="43" s="1"/>
  <c r="X24" i="50"/>
  <c r="L25" i="52"/>
  <c r="L33" i="52"/>
  <c r="X20" i="53"/>
  <c r="L22" i="53"/>
  <c r="L25" i="50"/>
  <c r="L24" i="52"/>
  <c r="L16" i="37"/>
  <c r="L25" i="38"/>
  <c r="L33" i="38"/>
  <c r="X22" i="43"/>
  <c r="X13" i="49"/>
  <c r="L29" i="98"/>
  <c r="L21" i="19"/>
  <c r="X25" i="44"/>
  <c r="L33" i="5"/>
  <c r="X25" i="26"/>
  <c r="X33" i="26"/>
  <c r="L13" i="28"/>
  <c r="L25" i="14"/>
  <c r="X34" i="29"/>
  <c r="R33" i="17"/>
  <c r="L22" i="44"/>
  <c r="L22" i="11"/>
  <c r="Z12" i="13"/>
  <c r="L15" i="47"/>
  <c r="L29" i="47"/>
  <c r="X20" i="98"/>
  <c r="L22" i="98"/>
  <c r="L29" i="99"/>
  <c r="L34" i="99"/>
  <c r="X29" i="26"/>
  <c r="X16" i="43"/>
  <c r="J22" i="44"/>
  <c r="X33" i="97"/>
  <c r="L20" i="99"/>
  <c r="X21" i="7"/>
  <c r="L25" i="13"/>
  <c r="X13" i="53"/>
  <c r="X24" i="22"/>
  <c r="X34" i="28"/>
  <c r="X29" i="40"/>
  <c r="N12" i="41"/>
  <c r="X29" i="5"/>
  <c r="X34" i="5"/>
  <c r="X15" i="7"/>
  <c r="L24" i="8"/>
  <c r="L29" i="10"/>
  <c r="X33" i="11"/>
  <c r="L13" i="17"/>
  <c r="L25" i="17"/>
  <c r="L33" i="17"/>
  <c r="L34" i="19"/>
  <c r="X16" i="20"/>
  <c r="X15" i="22"/>
  <c r="L24" i="23"/>
  <c r="X13" i="25"/>
  <c r="L22" i="28"/>
  <c r="X15" i="29"/>
  <c r="X29" i="29"/>
  <c r="X15" i="31"/>
  <c r="L21" i="32"/>
  <c r="X25" i="32"/>
  <c r="L16" i="34"/>
  <c r="X34" i="35"/>
  <c r="L22" i="37"/>
  <c r="X20" i="40"/>
  <c r="L22" i="40"/>
  <c r="L20" i="41"/>
  <c r="X29" i="43"/>
  <c r="X34" i="43"/>
  <c r="N12" i="44"/>
  <c r="L13" i="47"/>
  <c r="X24" i="49"/>
  <c r="R24" i="52"/>
  <c r="L15" i="53"/>
  <c r="L34" i="53"/>
  <c r="X15" i="4"/>
  <c r="X24" i="4"/>
  <c r="L34" i="4"/>
  <c r="X22" i="5"/>
  <c r="X22" i="7"/>
  <c r="X25" i="13"/>
  <c r="X33" i="13"/>
  <c r="L15" i="16"/>
  <c r="X16" i="16"/>
  <c r="R16" i="19"/>
  <c r="L24" i="19"/>
  <c r="L25" i="20"/>
  <c r="X16" i="22"/>
  <c r="L24" i="22"/>
  <c r="L22" i="23"/>
  <c r="L15" i="26"/>
  <c r="X16" i="26"/>
  <c r="L24" i="26"/>
  <c r="L22" i="29"/>
  <c r="L22" i="34"/>
  <c r="X29" i="34"/>
  <c r="L21" i="40"/>
  <c r="X25" i="40"/>
  <c r="X33" i="40"/>
  <c r="X29" i="41"/>
  <c r="X34" i="41"/>
  <c r="V21" i="43"/>
  <c r="X29" i="44"/>
  <c r="L15" i="50"/>
  <c r="X21" i="52"/>
  <c r="X34" i="99"/>
  <c r="V33" i="52"/>
  <c r="L24" i="32"/>
  <c r="X34" i="44"/>
  <c r="N12" i="46"/>
  <c r="L12" i="97"/>
  <c r="F25" i="99"/>
  <c r="L24" i="7"/>
  <c r="N12" i="20"/>
  <c r="J18" i="44"/>
  <c r="V15" i="47"/>
  <c r="X16" i="49"/>
  <c r="X20" i="16"/>
  <c r="X25" i="41"/>
  <c r="Z12" i="44"/>
  <c r="X29" i="7"/>
  <c r="X22" i="8"/>
  <c r="L16" i="10"/>
  <c r="F24" i="11"/>
  <c r="N25" i="14"/>
  <c r="X13" i="19"/>
  <c r="X33" i="31"/>
  <c r="X29" i="38"/>
  <c r="X25" i="98"/>
  <c r="J22" i="13"/>
  <c r="J24" i="14"/>
  <c r="X21" i="25"/>
  <c r="L29" i="25"/>
  <c r="X20" i="44"/>
  <c r="F29" i="44"/>
  <c r="X20" i="43"/>
  <c r="V20" i="5"/>
  <c r="R15" i="8"/>
  <c r="R18" i="8"/>
  <c r="L21" i="13"/>
  <c r="X25" i="19"/>
  <c r="X29" i="46"/>
  <c r="L25" i="4"/>
  <c r="Z12" i="5"/>
  <c r="L15" i="5"/>
  <c r="X16" i="5"/>
  <c r="L22" i="5"/>
  <c r="X33" i="5"/>
  <c r="X13" i="7"/>
  <c r="R20" i="7"/>
  <c r="R22" i="8"/>
  <c r="R34" i="40"/>
  <c r="X12" i="40"/>
  <c r="L21" i="49"/>
  <c r="L13" i="4"/>
  <c r="J15" i="4"/>
  <c r="J25" i="4"/>
  <c r="L13" i="5"/>
  <c r="V16" i="5"/>
  <c r="J22" i="5"/>
  <c r="X16" i="7"/>
  <c r="R24" i="7"/>
  <c r="L29" i="7"/>
  <c r="X15" i="8"/>
  <c r="L20" i="8"/>
  <c r="X21" i="8"/>
  <c r="L33" i="19"/>
  <c r="V20" i="97"/>
  <c r="V24" i="97"/>
  <c r="F36" i="52"/>
  <c r="F25" i="52"/>
  <c r="F21" i="52"/>
  <c r="R25" i="4"/>
  <c r="J31" i="4"/>
  <c r="R18" i="5"/>
  <c r="L34" i="7"/>
  <c r="R16" i="98"/>
  <c r="R24" i="98"/>
  <c r="R34" i="98"/>
  <c r="V21" i="4"/>
  <c r="N12" i="5"/>
  <c r="R22" i="5"/>
  <c r="V22" i="7"/>
  <c r="L15" i="8"/>
  <c r="R36" i="35"/>
  <c r="R22" i="35"/>
  <c r="J27" i="4"/>
  <c r="J36" i="4"/>
  <c r="F16" i="5"/>
  <c r="V31" i="8"/>
  <c r="V33" i="8"/>
  <c r="V25" i="8"/>
  <c r="N15" i="19"/>
  <c r="L15" i="19"/>
  <c r="R20" i="50"/>
  <c r="R29" i="50"/>
  <c r="X12" i="50"/>
  <c r="N33" i="97"/>
  <c r="L33" i="97"/>
  <c r="X13" i="5"/>
  <c r="L16" i="7"/>
  <c r="X12" i="8"/>
  <c r="F34" i="14"/>
  <c r="V20" i="16"/>
  <c r="V25" i="16"/>
  <c r="V15" i="16"/>
  <c r="L15" i="97"/>
  <c r="X29" i="98"/>
  <c r="Z29" i="98"/>
  <c r="X29" i="8"/>
  <c r="F15" i="10"/>
  <c r="R16" i="10"/>
  <c r="L22" i="10"/>
  <c r="X24" i="10"/>
  <c r="L15" i="13"/>
  <c r="X16" i="13"/>
  <c r="X13" i="14"/>
  <c r="J16" i="16"/>
  <c r="L22" i="16"/>
  <c r="X24" i="17"/>
  <c r="L25" i="19"/>
  <c r="X13" i="20"/>
  <c r="L22" i="20"/>
  <c r="X34" i="20"/>
  <c r="X20" i="23"/>
  <c r="X16" i="25"/>
  <c r="L21" i="25"/>
  <c r="X25" i="25"/>
  <c r="X33" i="25"/>
  <c r="L13" i="26"/>
  <c r="L29" i="26"/>
  <c r="Z12" i="29"/>
  <c r="X21" i="29"/>
  <c r="L15" i="31"/>
  <c r="X25" i="31"/>
  <c r="Z12" i="32"/>
  <c r="L13" i="34"/>
  <c r="X20" i="34"/>
  <c r="L24" i="35"/>
  <c r="X22" i="37"/>
  <c r="X24" i="38"/>
  <c r="L29" i="41"/>
  <c r="L16" i="43"/>
  <c r="L24" i="43"/>
  <c r="V16" i="44"/>
  <c r="X24" i="44"/>
  <c r="X33" i="44"/>
  <c r="N16" i="46"/>
  <c r="R20" i="46"/>
  <c r="L22" i="46"/>
  <c r="L29" i="46"/>
  <c r="F18" i="47"/>
  <c r="F21" i="47"/>
  <c r="L13" i="49"/>
  <c r="R15" i="49"/>
  <c r="R29" i="49"/>
  <c r="J33" i="50"/>
  <c r="X13" i="52"/>
  <c r="L16" i="52"/>
  <c r="L13" i="53"/>
  <c r="X21" i="53"/>
  <c r="L29" i="53"/>
  <c r="R20" i="97"/>
  <c r="N12" i="98"/>
  <c r="F24" i="98"/>
  <c r="X22" i="99"/>
  <c r="D18" i="10"/>
  <c r="D27" i="10" s="1"/>
  <c r="D31" i="10" s="1"/>
  <c r="F22" i="11"/>
  <c r="J15" i="13"/>
  <c r="L15" i="14"/>
  <c r="J31" i="14"/>
  <c r="J33" i="19"/>
  <c r="V36" i="20"/>
  <c r="F16" i="23"/>
  <c r="X20" i="29"/>
  <c r="X33" i="37"/>
  <c r="L22" i="41"/>
  <c r="J22" i="46"/>
  <c r="J29" i="46"/>
  <c r="R31" i="47"/>
  <c r="R34" i="47"/>
  <c r="X12" i="97"/>
  <c r="P18" i="99"/>
  <c r="P27" i="99" s="1"/>
  <c r="R21" i="10"/>
  <c r="V31" i="13"/>
  <c r="L13" i="16"/>
  <c r="J18" i="19"/>
  <c r="X24" i="31"/>
  <c r="Z12" i="35"/>
  <c r="X15" i="35"/>
  <c r="V16" i="35"/>
  <c r="D18" i="41"/>
  <c r="D27" i="41" s="1"/>
  <c r="Z12" i="43"/>
  <c r="J15" i="43"/>
  <c r="V25" i="43"/>
  <c r="X13" i="44"/>
  <c r="F20" i="44"/>
  <c r="R21" i="47"/>
  <c r="X20" i="49"/>
  <c r="J15" i="50"/>
  <c r="J15" i="98"/>
  <c r="F21" i="98"/>
  <c r="F33" i="99"/>
  <c r="L34" i="10"/>
  <c r="L33" i="13"/>
  <c r="X22" i="14"/>
  <c r="R22" i="17"/>
  <c r="L20" i="19"/>
  <c r="X33" i="19"/>
  <c r="F18" i="20"/>
  <c r="L33" i="22"/>
  <c r="L15" i="23"/>
  <c r="X16" i="23"/>
  <c r="L29" i="28"/>
  <c r="L16" i="29"/>
  <c r="L13" i="31"/>
  <c r="X20" i="31"/>
  <c r="X13" i="32"/>
  <c r="X25" i="34"/>
  <c r="X24" i="37"/>
  <c r="X13" i="38"/>
  <c r="X15" i="40"/>
  <c r="X21" i="40"/>
  <c r="L24" i="40"/>
  <c r="L25" i="46"/>
  <c r="X34" i="46"/>
  <c r="L16" i="47"/>
  <c r="R27" i="47"/>
  <c r="L15" i="49"/>
  <c r="R20" i="49"/>
  <c r="X15" i="50"/>
  <c r="V22" i="50"/>
  <c r="L25" i="53"/>
  <c r="L33" i="53"/>
  <c r="L13" i="97"/>
  <c r="X15" i="97"/>
  <c r="R22" i="97"/>
  <c r="L13" i="98"/>
  <c r="F18" i="98"/>
  <c r="X21" i="10"/>
  <c r="F25" i="10"/>
  <c r="J33" i="14"/>
  <c r="R21" i="16"/>
  <c r="Z12" i="17"/>
  <c r="V18" i="17"/>
  <c r="J31" i="17"/>
  <c r="J34" i="17"/>
  <c r="F20" i="35"/>
  <c r="X15" i="43"/>
  <c r="J21" i="43"/>
  <c r="V27" i="43"/>
  <c r="J36" i="43"/>
  <c r="L16" i="44"/>
  <c r="F31" i="44"/>
  <c r="J31" i="50"/>
  <c r="J34" i="50"/>
  <c r="X34" i="52"/>
  <c r="F20" i="97"/>
  <c r="J33" i="98"/>
  <c r="F15" i="99"/>
  <c r="L22" i="99"/>
  <c r="F24" i="10"/>
  <c r="L29" i="13"/>
  <c r="X15" i="14"/>
  <c r="L20" i="14"/>
  <c r="L16" i="19"/>
  <c r="X29" i="28"/>
  <c r="X12" i="29"/>
  <c r="R15" i="41"/>
  <c r="F15" i="44"/>
  <c r="F24" i="44"/>
  <c r="Z12" i="49"/>
  <c r="X20" i="50"/>
  <c r="V21" i="50"/>
  <c r="L33" i="50"/>
  <c r="F22" i="99"/>
  <c r="F36" i="99"/>
  <c r="L15" i="10"/>
  <c r="X12" i="13"/>
  <c r="R33" i="16"/>
  <c r="R25" i="17"/>
  <c r="X20" i="20"/>
  <c r="X33" i="22"/>
  <c r="L21" i="31"/>
  <c r="L34" i="34"/>
  <c r="X13" i="35"/>
  <c r="X25" i="38"/>
  <c r="X21" i="41"/>
  <c r="J25" i="43"/>
  <c r="L24" i="44"/>
  <c r="F36" i="44"/>
  <c r="R21" i="52"/>
  <c r="F24" i="97"/>
  <c r="V21" i="98"/>
  <c r="L24" i="98"/>
  <c r="J29" i="98"/>
  <c r="R16" i="99"/>
  <c r="F22" i="7"/>
  <c r="X13" i="4"/>
  <c r="R15" i="4"/>
  <c r="V31" i="4"/>
  <c r="V34" i="4"/>
  <c r="F18" i="5"/>
  <c r="R20" i="5"/>
  <c r="L21" i="5"/>
  <c r="J24" i="5"/>
  <c r="V16" i="7"/>
  <c r="F29" i="7"/>
  <c r="X34" i="7"/>
  <c r="X16" i="8"/>
  <c r="X20" i="8"/>
  <c r="J27" i="8"/>
  <c r="L12" i="10"/>
  <c r="J18" i="10"/>
  <c r="J15" i="11"/>
  <c r="X21" i="11"/>
  <c r="F21" i="14"/>
  <c r="F36" i="14"/>
  <c r="F33" i="14"/>
  <c r="F27" i="14"/>
  <c r="F18" i="14"/>
  <c r="D18" i="14"/>
  <c r="D27" i="14" s="1"/>
  <c r="D31" i="14" s="1"/>
  <c r="D36" i="14" s="1"/>
  <c r="F31" i="14"/>
  <c r="F24" i="14"/>
  <c r="L12" i="14"/>
  <c r="F29" i="14"/>
  <c r="F20" i="14"/>
  <c r="F16" i="14"/>
  <c r="Z33" i="14"/>
  <c r="X33" i="14"/>
  <c r="R20" i="19"/>
  <c r="X20" i="25"/>
  <c r="J21" i="29"/>
  <c r="N12" i="29"/>
  <c r="R21" i="34"/>
  <c r="P18" i="34"/>
  <c r="P27" i="34" s="1"/>
  <c r="R15" i="34"/>
  <c r="X12" i="34"/>
  <c r="Z16" i="34"/>
  <c r="X16" i="34"/>
  <c r="L25" i="35"/>
  <c r="J20" i="47"/>
  <c r="J22" i="47"/>
  <c r="J34" i="47"/>
  <c r="J27" i="47"/>
  <c r="N12" i="47"/>
  <c r="H18" i="47"/>
  <c r="H27" i="47" s="1"/>
  <c r="J31" i="47"/>
  <c r="J25" i="47"/>
  <c r="J36" i="47"/>
  <c r="P18" i="50"/>
  <c r="P27" i="50" s="1"/>
  <c r="X13" i="16"/>
  <c r="Z13" i="16"/>
  <c r="V18" i="23"/>
  <c r="Z12" i="23"/>
  <c r="V20" i="23"/>
  <c r="H18" i="4"/>
  <c r="H27" i="4" s="1"/>
  <c r="L21" i="4"/>
  <c r="J29" i="4"/>
  <c r="L33" i="4"/>
  <c r="Z34" i="4"/>
  <c r="J18" i="5"/>
  <c r="F16" i="7"/>
  <c r="Z16" i="7"/>
  <c r="F24" i="7"/>
  <c r="F36" i="7"/>
  <c r="V15" i="8"/>
  <c r="J18" i="8"/>
  <c r="L22" i="8"/>
  <c r="P18" i="10"/>
  <c r="P27" i="10" s="1"/>
  <c r="X33" i="10"/>
  <c r="L13" i="11"/>
  <c r="X15" i="11"/>
  <c r="X16" i="11"/>
  <c r="X20" i="11"/>
  <c r="X22" i="11"/>
  <c r="L29" i="11"/>
  <c r="J33" i="11"/>
  <c r="V24" i="13"/>
  <c r="V34" i="13"/>
  <c r="V16" i="13"/>
  <c r="X21" i="13"/>
  <c r="L22" i="13"/>
  <c r="F31" i="13"/>
  <c r="X20" i="17"/>
  <c r="N22" i="19"/>
  <c r="L22" i="19"/>
  <c r="X29" i="20"/>
  <c r="L25" i="25"/>
  <c r="X16" i="29"/>
  <c r="Z34" i="32"/>
  <c r="X34" i="32"/>
  <c r="J36" i="38"/>
  <c r="N12" i="38"/>
  <c r="N15" i="98"/>
  <c r="L15" i="98"/>
  <c r="X22" i="47"/>
  <c r="Z22" i="47"/>
  <c r="P18" i="4"/>
  <c r="P27" i="4" s="1"/>
  <c r="F18" i="7"/>
  <c r="F25" i="7"/>
  <c r="J24" i="8"/>
  <c r="V21" i="11"/>
  <c r="J36" i="11"/>
  <c r="F18" i="13"/>
  <c r="F27" i="13"/>
  <c r="R34" i="14"/>
  <c r="R24" i="14"/>
  <c r="R22" i="14"/>
  <c r="R20" i="14"/>
  <c r="R16" i="14"/>
  <c r="X13" i="31"/>
  <c r="Z13" i="31"/>
  <c r="Z34" i="31"/>
  <c r="X34" i="31"/>
  <c r="V22" i="47"/>
  <c r="V36" i="47"/>
  <c r="V18" i="47"/>
  <c r="V21" i="47"/>
  <c r="T18" i="47"/>
  <c r="Z18" i="47" s="1"/>
  <c r="V29" i="47"/>
  <c r="X12" i="4"/>
  <c r="L15" i="4"/>
  <c r="J21" i="4"/>
  <c r="X29" i="4"/>
  <c r="J33" i="4"/>
  <c r="J34" i="4"/>
  <c r="R36" i="4"/>
  <c r="R15" i="5"/>
  <c r="R16" i="5"/>
  <c r="L20" i="5"/>
  <c r="X24" i="5"/>
  <c r="Z12" i="7"/>
  <c r="F15" i="7"/>
  <c r="R18" i="7"/>
  <c r="X20" i="7"/>
  <c r="R21" i="7"/>
  <c r="R22" i="7"/>
  <c r="N24" i="7"/>
  <c r="F34" i="7"/>
  <c r="L25" i="8"/>
  <c r="L29" i="8"/>
  <c r="V36" i="8"/>
  <c r="J21" i="10"/>
  <c r="J29" i="11"/>
  <c r="L16" i="13"/>
  <c r="V18" i="13"/>
  <c r="V21" i="13"/>
  <c r="X22" i="13"/>
  <c r="X24" i="13"/>
  <c r="V27" i="13"/>
  <c r="Z34" i="13"/>
  <c r="X34" i="13"/>
  <c r="N29" i="22"/>
  <c r="L29" i="22"/>
  <c r="Z34" i="37"/>
  <c r="X34" i="37"/>
  <c r="J18" i="38"/>
  <c r="V25" i="47"/>
  <c r="F20" i="50"/>
  <c r="F31" i="50"/>
  <c r="R22" i="53"/>
  <c r="R36" i="53"/>
  <c r="R29" i="53"/>
  <c r="R18" i="53"/>
  <c r="R33" i="53"/>
  <c r="R21" i="53"/>
  <c r="R15" i="53"/>
  <c r="R24" i="53"/>
  <c r="R25" i="53"/>
  <c r="L16" i="4"/>
  <c r="X22" i="4"/>
  <c r="R29" i="4"/>
  <c r="F20" i="5"/>
  <c r="R24" i="5"/>
  <c r="V20" i="7"/>
  <c r="X25" i="7"/>
  <c r="F31" i="7"/>
  <c r="L13" i="8"/>
  <c r="J15" i="8"/>
  <c r="X24" i="8"/>
  <c r="L13" i="10"/>
  <c r="X25" i="10"/>
  <c r="X13" i="11"/>
  <c r="H18" i="11"/>
  <c r="H27" i="11" s="1"/>
  <c r="X29" i="11"/>
  <c r="H18" i="13"/>
  <c r="H27" i="13" s="1"/>
  <c r="R22" i="13"/>
  <c r="N21" i="16"/>
  <c r="L21" i="16"/>
  <c r="L15" i="25"/>
  <c r="L24" i="25"/>
  <c r="R18" i="31"/>
  <c r="P18" i="31"/>
  <c r="P27" i="31" s="1"/>
  <c r="R15" i="31"/>
  <c r="X12" i="31"/>
  <c r="Z16" i="31"/>
  <c r="X16" i="31"/>
  <c r="Z21" i="32"/>
  <c r="X21" i="32"/>
  <c r="L15" i="35"/>
  <c r="J36" i="40"/>
  <c r="N12" i="40"/>
  <c r="X33" i="41"/>
  <c r="J15" i="47"/>
  <c r="X33" i="4"/>
  <c r="F20" i="7"/>
  <c r="L33" i="7"/>
  <c r="X15" i="10"/>
  <c r="L16" i="11"/>
  <c r="L20" i="11"/>
  <c r="J25" i="11"/>
  <c r="F24" i="13"/>
  <c r="F34" i="13"/>
  <c r="F20" i="13"/>
  <c r="Z34" i="34"/>
  <c r="X34" i="34"/>
  <c r="X13" i="43"/>
  <c r="Z13" i="43"/>
  <c r="Z16" i="47"/>
  <c r="X16" i="47"/>
  <c r="P18" i="53"/>
  <c r="V34" i="99"/>
  <c r="X12" i="99"/>
  <c r="V25" i="99"/>
  <c r="V29" i="99"/>
  <c r="V36" i="99"/>
  <c r="V33" i="99"/>
  <c r="V22" i="99"/>
  <c r="V15" i="99"/>
  <c r="V27" i="4"/>
  <c r="R33" i="4"/>
  <c r="L16" i="5"/>
  <c r="F24" i="5"/>
  <c r="R16" i="7"/>
  <c r="L22" i="7"/>
  <c r="F27" i="7"/>
  <c r="F33" i="7"/>
  <c r="V24" i="8"/>
  <c r="L34" i="8"/>
  <c r="X13" i="10"/>
  <c r="R15" i="10"/>
  <c r="R20" i="10"/>
  <c r="L15" i="11"/>
  <c r="F16" i="11"/>
  <c r="F20" i="11"/>
  <c r="F21" i="11"/>
  <c r="X25" i="11"/>
  <c r="J18" i="13"/>
  <c r="J25" i="13"/>
  <c r="J24" i="13"/>
  <c r="N15" i="13"/>
  <c r="J21" i="13"/>
  <c r="F25" i="14"/>
  <c r="N24" i="16"/>
  <c r="L24" i="16"/>
  <c r="Z21" i="19"/>
  <c r="X21" i="19"/>
  <c r="L29" i="19"/>
  <c r="X15" i="20"/>
  <c r="L33" i="23"/>
  <c r="X20" i="32"/>
  <c r="L29" i="32"/>
  <c r="R18" i="43"/>
  <c r="R15" i="43"/>
  <c r="J33" i="47"/>
  <c r="Z34" i="49"/>
  <c r="X34" i="49"/>
  <c r="F20" i="52"/>
  <c r="L12" i="52"/>
  <c r="F22" i="52"/>
  <c r="F29" i="52"/>
  <c r="F15" i="52"/>
  <c r="F33" i="52"/>
  <c r="F18" i="52"/>
  <c r="L24" i="53"/>
  <c r="J18" i="14"/>
  <c r="J27" i="14"/>
  <c r="J36" i="14"/>
  <c r="X24" i="16"/>
  <c r="V29" i="16"/>
  <c r="V36" i="16"/>
  <c r="R18" i="17"/>
  <c r="L29" i="17"/>
  <c r="H18" i="19"/>
  <c r="H27" i="19" s="1"/>
  <c r="H31" i="19" s="1"/>
  <c r="X29" i="19"/>
  <c r="Z12" i="20"/>
  <c r="V16" i="20"/>
  <c r="L33" i="20"/>
  <c r="X21" i="22"/>
  <c r="X29" i="22"/>
  <c r="L34" i="22"/>
  <c r="L13" i="23"/>
  <c r="L25" i="23"/>
  <c r="X29" i="25"/>
  <c r="X13" i="26"/>
  <c r="X20" i="26"/>
  <c r="X12" i="28"/>
  <c r="X21" i="28"/>
  <c r="L33" i="28"/>
  <c r="X24" i="29"/>
  <c r="L29" i="29"/>
  <c r="L34" i="29"/>
  <c r="L20" i="31"/>
  <c r="X22" i="31"/>
  <c r="F20" i="32"/>
  <c r="L22" i="32"/>
  <c r="L20" i="34"/>
  <c r="X22" i="34"/>
  <c r="X29" i="35"/>
  <c r="L15" i="37"/>
  <c r="R22" i="38"/>
  <c r="X33" i="38"/>
  <c r="L20" i="40"/>
  <c r="L25" i="41"/>
  <c r="N12" i="43"/>
  <c r="L20" i="43"/>
  <c r="L22" i="43"/>
  <c r="J29" i="43"/>
  <c r="V31" i="43"/>
  <c r="R16" i="44"/>
  <c r="V20" i="44"/>
  <c r="R22" i="44"/>
  <c r="N24" i="44"/>
  <c r="F34" i="44"/>
  <c r="R18" i="46"/>
  <c r="D18" i="47"/>
  <c r="D27" i="47" s="1"/>
  <c r="R21" i="49"/>
  <c r="R22" i="49"/>
  <c r="J27" i="49"/>
  <c r="L13" i="50"/>
  <c r="J21" i="50"/>
  <c r="L22" i="50"/>
  <c r="J24" i="50"/>
  <c r="J25" i="50"/>
  <c r="L29" i="50"/>
  <c r="R33" i="50"/>
  <c r="V34" i="50"/>
  <c r="X20" i="52"/>
  <c r="X24" i="52"/>
  <c r="J16" i="53"/>
  <c r="V29" i="53"/>
  <c r="F36" i="97"/>
  <c r="F34" i="97"/>
  <c r="X13" i="97"/>
  <c r="X25" i="97"/>
  <c r="X15" i="98"/>
  <c r="X20" i="99"/>
  <c r="Z20" i="99"/>
  <c r="V25" i="52"/>
  <c r="J18" i="97"/>
  <c r="L22" i="14"/>
  <c r="P18" i="16"/>
  <c r="P27" i="16" s="1"/>
  <c r="R16" i="17"/>
  <c r="J24" i="17"/>
  <c r="R36" i="17"/>
  <c r="F21" i="19"/>
  <c r="H18" i="20"/>
  <c r="N18" i="20" s="1"/>
  <c r="X22" i="20"/>
  <c r="J33" i="20"/>
  <c r="R16" i="25"/>
  <c r="L22" i="25"/>
  <c r="X34" i="25"/>
  <c r="L34" i="26"/>
  <c r="L34" i="31"/>
  <c r="L13" i="32"/>
  <c r="X15" i="32"/>
  <c r="R16" i="32"/>
  <c r="X16" i="35"/>
  <c r="X12" i="37"/>
  <c r="X15" i="38"/>
  <c r="R16" i="38"/>
  <c r="R20" i="38"/>
  <c r="X13" i="40"/>
  <c r="L16" i="40"/>
  <c r="L13" i="41"/>
  <c r="R21" i="41"/>
  <c r="V15" i="43"/>
  <c r="V16" i="43"/>
  <c r="J22" i="43"/>
  <c r="V36" i="43"/>
  <c r="R24" i="44"/>
  <c r="R15" i="46"/>
  <c r="L20" i="46"/>
  <c r="R27" i="46"/>
  <c r="R34" i="46"/>
  <c r="L12" i="47"/>
  <c r="L25" i="47"/>
  <c r="V22" i="49"/>
  <c r="R15" i="50"/>
  <c r="V16" i="50"/>
  <c r="X25" i="50"/>
  <c r="J29" i="50"/>
  <c r="V31" i="50"/>
  <c r="Z12" i="52"/>
  <c r="R18" i="52"/>
  <c r="V22" i="52"/>
  <c r="V25" i="53"/>
  <c r="L16" i="97"/>
  <c r="R18" i="97"/>
  <c r="X24" i="97"/>
  <c r="F27" i="97"/>
  <c r="V18" i="98"/>
  <c r="J21" i="14"/>
  <c r="J34" i="14"/>
  <c r="R18" i="16"/>
  <c r="V21" i="16"/>
  <c r="V22" i="16"/>
  <c r="X15" i="17"/>
  <c r="R29" i="17"/>
  <c r="J15" i="20"/>
  <c r="F16" i="20"/>
  <c r="T18" i="20"/>
  <c r="T27" i="20" s="1"/>
  <c r="V20" i="20"/>
  <c r="V21" i="20"/>
  <c r="Z22" i="20"/>
  <c r="J29" i="20"/>
  <c r="L20" i="23"/>
  <c r="X16" i="32"/>
  <c r="X22" i="32"/>
  <c r="R16" i="35"/>
  <c r="R15" i="38"/>
  <c r="X16" i="38"/>
  <c r="X20" i="38"/>
  <c r="L24" i="38"/>
  <c r="V15" i="41"/>
  <c r="R16" i="41"/>
  <c r="J33" i="43"/>
  <c r="J34" i="43"/>
  <c r="F16" i="44"/>
  <c r="F22" i="44"/>
  <c r="F27" i="44"/>
  <c r="F33" i="44"/>
  <c r="R16" i="46"/>
  <c r="J20" i="46"/>
  <c r="X13" i="47"/>
  <c r="R15" i="47"/>
  <c r="L24" i="47"/>
  <c r="F25" i="47"/>
  <c r="R29" i="47"/>
  <c r="F33" i="47"/>
  <c r="R16" i="49"/>
  <c r="R33" i="49"/>
  <c r="H18" i="50"/>
  <c r="N18" i="50" s="1"/>
  <c r="V20" i="50"/>
  <c r="X21" i="50"/>
  <c r="R22" i="50"/>
  <c r="R25" i="50"/>
  <c r="J36" i="50"/>
  <c r="V18" i="52"/>
  <c r="V21" i="52"/>
  <c r="V22" i="53"/>
  <c r="V34" i="97"/>
  <c r="V31" i="97"/>
  <c r="V27" i="97"/>
  <c r="F16" i="97"/>
  <c r="L20" i="97"/>
  <c r="N12" i="14"/>
  <c r="J22" i="14"/>
  <c r="J29" i="14"/>
  <c r="X33" i="16"/>
  <c r="X34" i="16"/>
  <c r="R15" i="17"/>
  <c r="V16" i="17"/>
  <c r="L13" i="19"/>
  <c r="J15" i="19"/>
  <c r="X16" i="19"/>
  <c r="X20" i="19"/>
  <c r="X22" i="19"/>
  <c r="X34" i="19"/>
  <c r="L16" i="20"/>
  <c r="V18" i="20"/>
  <c r="L24" i="20"/>
  <c r="J25" i="20"/>
  <c r="L22" i="22"/>
  <c r="X34" i="22"/>
  <c r="L16" i="23"/>
  <c r="F20" i="23"/>
  <c r="X24" i="23"/>
  <c r="L29" i="23"/>
  <c r="R15" i="25"/>
  <c r="X24" i="25"/>
  <c r="L21" i="26"/>
  <c r="X34" i="26"/>
  <c r="L34" i="28"/>
  <c r="L25" i="29"/>
  <c r="L33" i="29"/>
  <c r="Z12" i="31"/>
  <c r="L33" i="31"/>
  <c r="V16" i="32"/>
  <c r="R20" i="32"/>
  <c r="R22" i="32"/>
  <c r="X33" i="32"/>
  <c r="L33" i="34"/>
  <c r="L21" i="35"/>
  <c r="X24" i="35"/>
  <c r="L13" i="37"/>
  <c r="L33" i="37"/>
  <c r="Z16" i="38"/>
  <c r="Z20" i="38"/>
  <c r="L22" i="38"/>
  <c r="F24" i="38"/>
  <c r="X34" i="38"/>
  <c r="L15" i="40"/>
  <c r="L12" i="41"/>
  <c r="R20" i="41"/>
  <c r="X24" i="41"/>
  <c r="H18" i="43"/>
  <c r="H27" i="43" s="1"/>
  <c r="H31" i="43" s="1"/>
  <c r="V20" i="43"/>
  <c r="L25" i="43"/>
  <c r="J27" i="43"/>
  <c r="V29" i="43"/>
  <c r="D18" i="44"/>
  <c r="D27" i="44" s="1"/>
  <c r="F18" i="44"/>
  <c r="X13" i="46"/>
  <c r="X20" i="46"/>
  <c r="X22" i="46"/>
  <c r="L21" i="47"/>
  <c r="L34" i="47"/>
  <c r="F36" i="47"/>
  <c r="L22" i="49"/>
  <c r="R36" i="49"/>
  <c r="R36" i="50"/>
  <c r="V15" i="53"/>
  <c r="L22" i="97"/>
  <c r="L20" i="98"/>
  <c r="N20" i="98"/>
  <c r="X33" i="98"/>
  <c r="H18" i="14"/>
  <c r="J20" i="16"/>
  <c r="R29" i="16"/>
  <c r="V20" i="17"/>
  <c r="J29" i="19"/>
  <c r="J36" i="19"/>
  <c r="V15" i="20"/>
  <c r="F20" i="20"/>
  <c r="F21" i="20"/>
  <c r="J24" i="20"/>
  <c r="X13" i="22"/>
  <c r="R15" i="22"/>
  <c r="P18" i="22"/>
  <c r="P27" i="22" s="1"/>
  <c r="R22" i="23"/>
  <c r="F16" i="32"/>
  <c r="R18" i="32"/>
  <c r="L16" i="38"/>
  <c r="L20" i="38"/>
  <c r="L29" i="40"/>
  <c r="F15" i="41"/>
  <c r="L13" i="43"/>
  <c r="T18" i="43"/>
  <c r="T27" i="43" s="1"/>
  <c r="Z27" i="43" s="1"/>
  <c r="R18" i="44"/>
  <c r="R20" i="44"/>
  <c r="X29" i="47"/>
  <c r="R36" i="47"/>
  <c r="R25" i="49"/>
  <c r="Z12" i="50"/>
  <c r="J27" i="50"/>
  <c r="T18" i="52"/>
  <c r="T27" i="52" s="1"/>
  <c r="V36" i="52"/>
  <c r="V33" i="53"/>
  <c r="J21" i="97"/>
  <c r="J24" i="97"/>
  <c r="J15" i="14"/>
  <c r="L16" i="14"/>
  <c r="J25" i="14"/>
  <c r="R15" i="16"/>
  <c r="R25" i="16"/>
  <c r="V33" i="16"/>
  <c r="R36" i="16"/>
  <c r="X12" i="17"/>
  <c r="P18" i="17"/>
  <c r="P27" i="17" s="1"/>
  <c r="V22" i="17"/>
  <c r="J27" i="17"/>
  <c r="F24" i="19"/>
  <c r="J25" i="19"/>
  <c r="L20" i="20"/>
  <c r="J22" i="20"/>
  <c r="L34" i="25"/>
  <c r="L15" i="28"/>
  <c r="L20" i="32"/>
  <c r="F16" i="35"/>
  <c r="R18" i="35"/>
  <c r="X22" i="38"/>
  <c r="V18" i="40"/>
  <c r="L21" i="41"/>
  <c r="X22" i="41"/>
  <c r="N13" i="43"/>
  <c r="V18" i="43"/>
  <c r="J31" i="43"/>
  <c r="V33" i="43"/>
  <c r="V34" i="43"/>
  <c r="X15" i="44"/>
  <c r="X16" i="44"/>
  <c r="V18" i="44"/>
  <c r="R21" i="44"/>
  <c r="J24" i="44"/>
  <c r="F25" i="44"/>
  <c r="L34" i="44"/>
  <c r="J18" i="46"/>
  <c r="F22" i="46"/>
  <c r="F15" i="47"/>
  <c r="R24" i="47"/>
  <c r="R25" i="47"/>
  <c r="R18" i="49"/>
  <c r="X21" i="49"/>
  <c r="V27" i="50"/>
  <c r="X33" i="50"/>
  <c r="V15" i="52"/>
  <c r="V29" i="52"/>
  <c r="Z12" i="53"/>
  <c r="V18" i="53"/>
  <c r="L21" i="53"/>
  <c r="V36" i="53"/>
  <c r="R15" i="97"/>
  <c r="R16" i="97"/>
  <c r="X22" i="97"/>
  <c r="X29" i="97"/>
  <c r="L34" i="97"/>
  <c r="L16" i="98"/>
  <c r="L13" i="99"/>
  <c r="X24" i="99"/>
  <c r="X21" i="99"/>
  <c r="X16" i="98"/>
  <c r="J22" i="98"/>
  <c r="J25" i="98"/>
  <c r="X13" i="99"/>
  <c r="X16" i="99"/>
  <c r="R21" i="99"/>
  <c r="L33" i="99"/>
  <c r="R20" i="98"/>
  <c r="J36" i="98"/>
  <c r="L15" i="99"/>
  <c r="D18" i="99"/>
  <c r="D27" i="99" s="1"/>
  <c r="L25" i="99"/>
  <c r="F29" i="99"/>
  <c r="J18" i="98"/>
  <c r="X22" i="98"/>
  <c r="R31" i="98"/>
  <c r="L34" i="98"/>
  <c r="R18" i="99"/>
  <c r="L21" i="99"/>
  <c r="L24" i="99"/>
  <c r="N38" i="3"/>
  <c r="L38" i="3"/>
  <c r="N54" i="3"/>
  <c r="L54" i="3"/>
  <c r="N62" i="3"/>
  <c r="L62" i="3"/>
  <c r="L39" i="12"/>
  <c r="N39" i="12"/>
  <c r="X26" i="3"/>
  <c r="Z26" i="3" s="1"/>
  <c r="Z34" i="3"/>
  <c r="X34" i="3"/>
  <c r="X42" i="3"/>
  <c r="Z42" i="3" s="1"/>
  <c r="Z50" i="3"/>
  <c r="X50" i="3"/>
  <c r="Z58" i="3"/>
  <c r="X58" i="3"/>
  <c r="Z66" i="3"/>
  <c r="X66" i="3"/>
  <c r="Z75" i="3"/>
  <c r="L78" i="3"/>
  <c r="N78" i="3" s="1"/>
  <c r="Z83" i="3"/>
  <c r="Z177" i="3"/>
  <c r="R186" i="3"/>
  <c r="R197" i="3"/>
  <c r="N221" i="3"/>
  <c r="T233" i="3"/>
  <c r="Z235" i="3"/>
  <c r="Z250" i="3"/>
  <c r="Z34" i="10"/>
  <c r="X34" i="10"/>
  <c r="N15" i="3"/>
  <c r="R129" i="3"/>
  <c r="Z191" i="3"/>
  <c r="N239" i="3"/>
  <c r="Z241" i="3"/>
  <c r="L20" i="4"/>
  <c r="J34" i="7"/>
  <c r="J31" i="7"/>
  <c r="J27" i="7"/>
  <c r="J24" i="7"/>
  <c r="J21" i="7"/>
  <c r="J18" i="7"/>
  <c r="J36" i="7"/>
  <c r="J33" i="7"/>
  <c r="J29" i="7"/>
  <c r="J25" i="7"/>
  <c r="H18" i="7"/>
  <c r="J15" i="7"/>
  <c r="J22" i="7"/>
  <c r="N12" i="7"/>
  <c r="L12" i="7"/>
  <c r="J20" i="7"/>
  <c r="R235" i="3"/>
  <c r="R220" i="3"/>
  <c r="R212" i="3"/>
  <c r="R204" i="3"/>
  <c r="R200" i="3"/>
  <c r="R196" i="3"/>
  <c r="R192" i="3"/>
  <c r="R189" i="3"/>
  <c r="R177" i="3"/>
  <c r="R172" i="3"/>
  <c r="R165" i="3"/>
  <c r="R160" i="3"/>
  <c r="R156" i="3"/>
  <c r="R144" i="3"/>
  <c r="R128" i="3"/>
  <c r="R120" i="3"/>
  <c r="R112" i="3"/>
  <c r="R104" i="3"/>
  <c r="R96" i="3"/>
  <c r="R238" i="3"/>
  <c r="R223" i="3"/>
  <c r="R219" i="3"/>
  <c r="R208" i="3"/>
  <c r="R203" i="3"/>
  <c r="R199" i="3"/>
  <c r="R195" i="3"/>
  <c r="R183" i="3"/>
  <c r="R180" i="3"/>
  <c r="R168" i="3"/>
  <c r="R155" i="3"/>
  <c r="R143" i="3"/>
  <c r="R135" i="3"/>
  <c r="R127" i="3"/>
  <c r="R119" i="3"/>
  <c r="R111" i="3"/>
  <c r="R103" i="3"/>
  <c r="R95" i="3"/>
  <c r="R250" i="3"/>
  <c r="R241" i="3"/>
  <c r="R222" i="3"/>
  <c r="R218" i="3"/>
  <c r="R211" i="3"/>
  <c r="R194" i="3"/>
  <c r="R191" i="3"/>
  <c r="R174" i="3"/>
  <c r="R171" i="3"/>
  <c r="R162" i="3"/>
  <c r="R159" i="3"/>
  <c r="R154" i="3"/>
  <c r="R150" i="3"/>
  <c r="R142" i="3"/>
  <c r="R139" i="3"/>
  <c r="R134" i="3"/>
  <c r="R126" i="3"/>
  <c r="R118" i="3"/>
  <c r="R110" i="3"/>
  <c r="R102" i="3"/>
  <c r="R236" i="3"/>
  <c r="R229" i="3"/>
  <c r="R225" i="3"/>
  <c r="R217" i="3"/>
  <c r="R202" i="3"/>
  <c r="R198" i="3"/>
  <c r="R185" i="3"/>
  <c r="R182" i="3"/>
  <c r="R153" i="3"/>
  <c r="R149" i="3"/>
  <c r="R141" i="3"/>
  <c r="R133" i="3"/>
  <c r="R125" i="3"/>
  <c r="R117" i="3"/>
  <c r="R109" i="3"/>
  <c r="R101" i="3"/>
  <c r="R94" i="3"/>
  <c r="R239" i="3"/>
  <c r="R228" i="3"/>
  <c r="R221" i="3"/>
  <c r="R216" i="3"/>
  <c r="R193" i="3"/>
  <c r="R188" i="3"/>
  <c r="R176" i="3"/>
  <c r="R173" i="3"/>
  <c r="R164" i="3"/>
  <c r="R161" i="3"/>
  <c r="R152" i="3"/>
  <c r="R148" i="3"/>
  <c r="R132" i="3"/>
  <c r="R124" i="3"/>
  <c r="R116" i="3"/>
  <c r="R108" i="3"/>
  <c r="R100" i="3"/>
  <c r="R245" i="3"/>
  <c r="R234" i="3"/>
  <c r="R231" i="3"/>
  <c r="R227" i="3"/>
  <c r="R224" i="3"/>
  <c r="R215" i="3"/>
  <c r="R207" i="3"/>
  <c r="R187" i="3"/>
  <c r="R184" i="3"/>
  <c r="R179" i="3"/>
  <c r="R167" i="3"/>
  <c r="R147" i="3"/>
  <c r="R140" i="3"/>
  <c r="R131" i="3"/>
  <c r="R123" i="3"/>
  <c r="R115" i="3"/>
  <c r="R107" i="3"/>
  <c r="R99" i="3"/>
  <c r="R249" i="3"/>
  <c r="R237" i="3"/>
  <c r="R214" i="3"/>
  <c r="R210" i="3"/>
  <c r="R206" i="3"/>
  <c r="R190" i="3"/>
  <c r="R178" i="3"/>
  <c r="R175" i="3"/>
  <c r="R170" i="3"/>
  <c r="R166" i="3"/>
  <c r="R163" i="3"/>
  <c r="R158" i="3"/>
  <c r="R151" i="3"/>
  <c r="R146" i="3"/>
  <c r="R130" i="3"/>
  <c r="R122" i="3"/>
  <c r="R114" i="3"/>
  <c r="R106" i="3"/>
  <c r="R98" i="3"/>
  <c r="Z74" i="3"/>
  <c r="X74" i="3"/>
  <c r="Z82" i="3"/>
  <c r="X82" i="3"/>
  <c r="N86" i="3"/>
  <c r="L86" i="3"/>
  <c r="P137" i="3"/>
  <c r="R137" i="3" s="1"/>
  <c r="R181" i="3"/>
  <c r="R209" i="3"/>
  <c r="X15" i="5"/>
  <c r="P18" i="5"/>
  <c r="N21" i="8"/>
  <c r="L21" i="8"/>
  <c r="L49" i="9"/>
  <c r="N49" i="9" s="1"/>
  <c r="Z18" i="3"/>
  <c r="X18" i="3"/>
  <c r="N46" i="3"/>
  <c r="L46" i="3"/>
  <c r="N39" i="3"/>
  <c r="N47" i="3"/>
  <c r="N55" i="3"/>
  <c r="N63" i="3"/>
  <c r="Z91" i="3"/>
  <c r="R105" i="3"/>
  <c r="R121" i="3"/>
  <c r="N171" i="3"/>
  <c r="N211" i="3"/>
  <c r="R226" i="3"/>
  <c r="R240" i="3"/>
  <c r="L15" i="7"/>
  <c r="D18" i="7"/>
  <c r="L16" i="8"/>
  <c r="N30" i="3"/>
  <c r="L30" i="3"/>
  <c r="H22" i="6"/>
  <c r="N16" i="6"/>
  <c r="D12" i="3"/>
  <c r="H12" i="3"/>
  <c r="L14" i="3"/>
  <c r="N14" i="3" s="1"/>
  <c r="Z19" i="3"/>
  <c r="R97" i="3"/>
  <c r="N139" i="3"/>
  <c r="R145" i="3"/>
  <c r="Z165" i="3"/>
  <c r="R201" i="3"/>
  <c r="Z249" i="3"/>
  <c r="J16" i="7"/>
  <c r="N22" i="3"/>
  <c r="L22" i="3"/>
  <c r="N79" i="3"/>
  <c r="Z90" i="3"/>
  <c r="X90" i="3"/>
  <c r="R157" i="3"/>
  <c r="L159" i="3"/>
  <c r="N159" i="3" s="1"/>
  <c r="Z171" i="3"/>
  <c r="Z211" i="3"/>
  <c r="D233" i="3"/>
  <c r="L233" i="3" s="1"/>
  <c r="N233" i="3" s="1"/>
  <c r="L235" i="3"/>
  <c r="L250" i="3"/>
  <c r="N250" i="3" s="1"/>
  <c r="F20" i="4"/>
  <c r="F16" i="4"/>
  <c r="F34" i="4"/>
  <c r="F31" i="4"/>
  <c r="F27" i="4"/>
  <c r="F24" i="4"/>
  <c r="F21" i="4"/>
  <c r="F18" i="4"/>
  <c r="F36" i="4"/>
  <c r="F33" i="4"/>
  <c r="F29" i="4"/>
  <c r="F25" i="4"/>
  <c r="D18" i="4"/>
  <c r="F15" i="4"/>
  <c r="L12" i="4"/>
  <c r="F22" i="4"/>
  <c r="X33" i="7"/>
  <c r="F34" i="8"/>
  <c r="F21" i="8"/>
  <c r="F22" i="8"/>
  <c r="F31" i="8"/>
  <c r="F29" i="8"/>
  <c r="F16" i="8"/>
  <c r="F33" i="8"/>
  <c r="F27" i="8"/>
  <c r="F25" i="8"/>
  <c r="F20" i="8"/>
  <c r="F18" i="8"/>
  <c r="F36" i="8"/>
  <c r="F24" i="8"/>
  <c r="D18" i="8"/>
  <c r="F15" i="8"/>
  <c r="L12" i="8"/>
  <c r="V34" i="14"/>
  <c r="V31" i="14"/>
  <c r="V27" i="14"/>
  <c r="X12" i="14"/>
  <c r="V21" i="14"/>
  <c r="V18" i="14"/>
  <c r="V36" i="14"/>
  <c r="V33" i="14"/>
  <c r="V29" i="14"/>
  <c r="V25" i="14"/>
  <c r="T18" i="14"/>
  <c r="V15" i="14"/>
  <c r="V22" i="14"/>
  <c r="V20" i="14"/>
  <c r="V16" i="14"/>
  <c r="Z12" i="14"/>
  <c r="V24" i="14"/>
  <c r="N70" i="3"/>
  <c r="L70" i="3"/>
  <c r="N87" i="3"/>
  <c r="R113" i="3"/>
  <c r="Z189" i="3"/>
  <c r="N191" i="3"/>
  <c r="R205" i="3"/>
  <c r="R230" i="3"/>
  <c r="P233" i="3"/>
  <c r="X233" i="3" s="1"/>
  <c r="R20" i="11"/>
  <c r="R16" i="11"/>
  <c r="R24" i="11"/>
  <c r="R21" i="11"/>
  <c r="R18" i="11"/>
  <c r="R36" i="11"/>
  <c r="R33" i="11"/>
  <c r="R29" i="11"/>
  <c r="R25" i="11"/>
  <c r="P18" i="11"/>
  <c r="R15" i="11"/>
  <c r="R22" i="11"/>
  <c r="X12" i="11"/>
  <c r="R34" i="11"/>
  <c r="R27" i="11"/>
  <c r="R31" i="11"/>
  <c r="J16" i="4"/>
  <c r="R18" i="4"/>
  <c r="J20" i="4"/>
  <c r="V22" i="4"/>
  <c r="R25" i="5"/>
  <c r="J27" i="5"/>
  <c r="R29" i="5"/>
  <c r="J31" i="5"/>
  <c r="R33" i="5"/>
  <c r="J34" i="5"/>
  <c r="R36" i="5"/>
  <c r="V15" i="7"/>
  <c r="T18" i="7"/>
  <c r="V25" i="7"/>
  <c r="V29" i="7"/>
  <c r="V33" i="7"/>
  <c r="V36" i="7"/>
  <c r="J36" i="8"/>
  <c r="J33" i="8"/>
  <c r="J29" i="8"/>
  <c r="J25" i="8"/>
  <c r="H18" i="8"/>
  <c r="J22" i="8"/>
  <c r="J34" i="8"/>
  <c r="J31" i="8"/>
  <c r="J16" i="8"/>
  <c r="T18" i="8"/>
  <c r="R20" i="8"/>
  <c r="J21" i="8"/>
  <c r="Z34" i="8"/>
  <c r="X34" i="8"/>
  <c r="Z47" i="9"/>
  <c r="X47" i="9"/>
  <c r="Z21" i="12"/>
  <c r="L31" i="12"/>
  <c r="N31" i="12"/>
  <c r="X51" i="12"/>
  <c r="Z51" i="12" s="1"/>
  <c r="N65" i="12"/>
  <c r="X67" i="12"/>
  <c r="Z67" i="12"/>
  <c r="Z158" i="12"/>
  <c r="X13" i="13"/>
  <c r="Z13" i="13"/>
  <c r="X20" i="15"/>
  <c r="Z20" i="15"/>
  <c r="T12" i="3"/>
  <c r="X235" i="3"/>
  <c r="V15" i="4"/>
  <c r="T18" i="4"/>
  <c r="R21" i="4"/>
  <c r="V25" i="4"/>
  <c r="V29" i="4"/>
  <c r="V33" i="4"/>
  <c r="V36" i="4"/>
  <c r="J16" i="5"/>
  <c r="J20" i="5"/>
  <c r="F22" i="5"/>
  <c r="V22" i="5"/>
  <c r="F14" i="6"/>
  <c r="V14" i="6"/>
  <c r="F18" i="6"/>
  <c r="V18" i="6"/>
  <c r="F22" i="6"/>
  <c r="V22" i="6"/>
  <c r="V24" i="6"/>
  <c r="F28" i="6"/>
  <c r="V28" i="6"/>
  <c r="F31" i="6"/>
  <c r="V31" i="6"/>
  <c r="V18" i="7"/>
  <c r="X19" i="9"/>
  <c r="Z19" i="9" s="1"/>
  <c r="V26" i="9"/>
  <c r="V30" i="9"/>
  <c r="N41" i="9"/>
  <c r="L41" i="9"/>
  <c r="N16" i="12"/>
  <c r="L23" i="12"/>
  <c r="N23" i="12"/>
  <c r="Z28" i="12"/>
  <c r="N49" i="12"/>
  <c r="N57" i="12"/>
  <c r="X59" i="12"/>
  <c r="Z59" i="12"/>
  <c r="Z178" i="12"/>
  <c r="N193" i="12"/>
  <c r="H200" i="12"/>
  <c r="N202" i="12"/>
  <c r="Z204" i="12"/>
  <c r="N18" i="15"/>
  <c r="Z30" i="15"/>
  <c r="Z109" i="15"/>
  <c r="X109" i="15"/>
  <c r="V212" i="18"/>
  <c r="V208" i="18"/>
  <c r="V196" i="18"/>
  <c r="V188" i="18"/>
  <c r="V184" i="18"/>
  <c r="V180" i="18"/>
  <c r="V168" i="18"/>
  <c r="V156" i="18"/>
  <c r="V144" i="18"/>
  <c r="V140" i="18"/>
  <c r="V132" i="18"/>
  <c r="V124" i="18"/>
  <c r="V116" i="18"/>
  <c r="V108" i="18"/>
  <c r="V100" i="18"/>
  <c r="V92" i="18"/>
  <c r="V225" i="18"/>
  <c r="V217" i="18"/>
  <c r="V179" i="18"/>
  <c r="V171" i="18"/>
  <c r="V167" i="18"/>
  <c r="V159" i="18"/>
  <c r="V155" i="18"/>
  <c r="V143" i="18"/>
  <c r="V139" i="18"/>
  <c r="V123" i="18"/>
  <c r="V115" i="18"/>
  <c r="V107" i="18"/>
  <c r="V99" i="18"/>
  <c r="V91" i="18"/>
  <c r="V220" i="18"/>
  <c r="V202" i="18"/>
  <c r="V170" i="18"/>
  <c r="V162" i="18"/>
  <c r="V158" i="18"/>
  <c r="V150" i="18"/>
  <c r="V138" i="18"/>
  <c r="T129" i="18"/>
  <c r="V129" i="18" s="1"/>
  <c r="V122" i="18"/>
  <c r="V114" i="18"/>
  <c r="V106" i="18"/>
  <c r="V98" i="18"/>
  <c r="V90" i="18"/>
  <c r="V205" i="18"/>
  <c r="V201" i="18"/>
  <c r="V173" i="18"/>
  <c r="V161" i="18"/>
  <c r="V157" i="18"/>
  <c r="V149" i="18"/>
  <c r="V137" i="18"/>
  <c r="V121" i="18"/>
  <c r="V113" i="18"/>
  <c r="V105" i="18"/>
  <c r="V97" i="18"/>
  <c r="V89" i="18"/>
  <c r="V218" i="18"/>
  <c r="V204" i="18"/>
  <c r="V200" i="18"/>
  <c r="V192" i="18"/>
  <c r="V176" i="18"/>
  <c r="V172" i="18"/>
  <c r="V164" i="18"/>
  <c r="V160" i="18"/>
  <c r="V152" i="18"/>
  <c r="V148" i="18"/>
  <c r="V136" i="18"/>
  <c r="V120" i="18"/>
  <c r="V112" i="18"/>
  <c r="V104" i="18"/>
  <c r="V96" i="18"/>
  <c r="V88" i="18"/>
  <c r="V221" i="18"/>
  <c r="V211" i="18"/>
  <c r="V207" i="18"/>
  <c r="V203" i="18"/>
  <c r="V199" i="18"/>
  <c r="V195" i="18"/>
  <c r="V191" i="18"/>
  <c r="V187" i="18"/>
  <c r="V183" i="18"/>
  <c r="V175" i="18"/>
  <c r="V163" i="18"/>
  <c r="V151" i="18"/>
  <c r="V147" i="18"/>
  <c r="V135" i="18"/>
  <c r="V131" i="18"/>
  <c r="V127" i="18"/>
  <c r="V119" i="18"/>
  <c r="V111" i="18"/>
  <c r="V103" i="18"/>
  <c r="V95" i="18"/>
  <c r="V216" i="18"/>
  <c r="V210" i="18"/>
  <c r="V206" i="18"/>
  <c r="V198" i="18"/>
  <c r="V194" i="18"/>
  <c r="V190" i="18"/>
  <c r="V186" i="18"/>
  <c r="V182" i="18"/>
  <c r="V178" i="18"/>
  <c r="V174" i="18"/>
  <c r="V166" i="18"/>
  <c r="V154" i="18"/>
  <c r="V146" i="18"/>
  <c r="V142" i="18"/>
  <c r="V134" i="18"/>
  <c r="V126" i="18"/>
  <c r="V118" i="18"/>
  <c r="V110" i="18"/>
  <c r="V102" i="18"/>
  <c r="V94" i="18"/>
  <c r="V193" i="18"/>
  <c r="V219" i="18"/>
  <c r="V153" i="18"/>
  <c r="V117" i="18"/>
  <c r="V209" i="18"/>
  <c r="V185" i="18"/>
  <c r="V165" i="18"/>
  <c r="V141" i="18"/>
  <c r="V125" i="18"/>
  <c r="V93" i="18"/>
  <c r="V177" i="18"/>
  <c r="V145" i="18"/>
  <c r="V101" i="18"/>
  <c r="V197" i="18"/>
  <c r="V213" i="18"/>
  <c r="V189" i="18"/>
  <c r="V169" i="18"/>
  <c r="V133" i="18"/>
  <c r="V181" i="18"/>
  <c r="V109" i="18"/>
  <c r="N12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L12" i="6"/>
  <c r="P16" i="6"/>
  <c r="V21" i="7"/>
  <c r="R27" i="7"/>
  <c r="R31" i="7"/>
  <c r="R34" i="7"/>
  <c r="N12" i="8"/>
  <c r="V20" i="8"/>
  <c r="V27" i="8"/>
  <c r="X39" i="9"/>
  <c r="Z39" i="9" s="1"/>
  <c r="X24" i="11"/>
  <c r="Z13" i="12"/>
  <c r="Z20" i="12"/>
  <c r="X35" i="12"/>
  <c r="Z35" i="12"/>
  <c r="N41" i="12"/>
  <c r="X43" i="12"/>
  <c r="Z43" i="12" s="1"/>
  <c r="Z113" i="12"/>
  <c r="N172" i="12"/>
  <c r="X34" i="14"/>
  <c r="T12" i="15"/>
  <c r="R27" i="4"/>
  <c r="R31" i="4"/>
  <c r="R34" i="4"/>
  <c r="V18" i="5"/>
  <c r="V24" i="7"/>
  <c r="R34" i="8"/>
  <c r="R31" i="8"/>
  <c r="R27" i="8"/>
  <c r="R24" i="8"/>
  <c r="R36" i="8"/>
  <c r="R33" i="8"/>
  <c r="R29" i="8"/>
  <c r="V75" i="9"/>
  <c r="V71" i="9"/>
  <c r="V67" i="9"/>
  <c r="V51" i="9"/>
  <c r="V47" i="9"/>
  <c r="V39" i="9"/>
  <c r="V31" i="9"/>
  <c r="V27" i="9"/>
  <c r="V19" i="9"/>
  <c r="X12" i="9"/>
  <c r="V77" i="9"/>
  <c r="V69" i="9"/>
  <c r="V53" i="9"/>
  <c r="V49" i="9"/>
  <c r="V41" i="9"/>
  <c r="V25" i="9"/>
  <c r="T16" i="9"/>
  <c r="X16" i="9" s="1"/>
  <c r="V91" i="9"/>
  <c r="V86" i="9"/>
  <c r="V84" i="9"/>
  <c r="V80" i="9"/>
  <c r="V68" i="9"/>
  <c r="V52" i="9"/>
  <c r="V44" i="9"/>
  <c r="V36" i="9"/>
  <c r="V24" i="9"/>
  <c r="V79" i="9"/>
  <c r="V63" i="9"/>
  <c r="V59" i="9"/>
  <c r="V55" i="9"/>
  <c r="V43" i="9"/>
  <c r="V35" i="9"/>
  <c r="V23" i="9"/>
  <c r="V62" i="9"/>
  <c r="V58" i="9"/>
  <c r="V54" i="9"/>
  <c r="V46" i="9"/>
  <c r="V38" i="9"/>
  <c r="V34" i="9"/>
  <c r="V22" i="9"/>
  <c r="V18" i="9"/>
  <c r="V14" i="9"/>
  <c r="V73" i="9"/>
  <c r="V65" i="9"/>
  <c r="V61" i="9"/>
  <c r="V57" i="9"/>
  <c r="V45" i="9"/>
  <c r="V37" i="9"/>
  <c r="V33" i="9"/>
  <c r="V29" i="9"/>
  <c r="V21" i="9"/>
  <c r="V88" i="9"/>
  <c r="V82" i="9"/>
  <c r="V76" i="9"/>
  <c r="V72" i="9"/>
  <c r="V64" i="9"/>
  <c r="V60" i="9"/>
  <c r="V56" i="9"/>
  <c r="V48" i="9"/>
  <c r="V40" i="9"/>
  <c r="V32" i="9"/>
  <c r="V28" i="9"/>
  <c r="V20" i="9"/>
  <c r="Z12" i="9"/>
  <c r="N77" i="9"/>
  <c r="L77" i="9"/>
  <c r="V78" i="9"/>
  <c r="L15" i="12"/>
  <c r="N15" i="12" s="1"/>
  <c r="H12" i="12"/>
  <c r="L21" i="14"/>
  <c r="L50" i="15"/>
  <c r="N50" i="15" s="1"/>
  <c r="N20" i="16"/>
  <c r="L20" i="16"/>
  <c r="R16" i="4"/>
  <c r="J18" i="4"/>
  <c r="R20" i="4"/>
  <c r="V24" i="4"/>
  <c r="J15" i="5"/>
  <c r="H18" i="5"/>
  <c r="F21" i="5"/>
  <c r="V21" i="5"/>
  <c r="J25" i="5"/>
  <c r="R27" i="5"/>
  <c r="J29" i="5"/>
  <c r="R31" i="5"/>
  <c r="J33" i="5"/>
  <c r="R34" i="5"/>
  <c r="J36" i="5"/>
  <c r="D16" i="6"/>
  <c r="T16" i="6"/>
  <c r="X12" i="7"/>
  <c r="V27" i="7"/>
  <c r="V31" i="7"/>
  <c r="V34" i="8"/>
  <c r="V21" i="8"/>
  <c r="V18" i="8"/>
  <c r="V22" i="8"/>
  <c r="R16" i="8"/>
  <c r="R21" i="8"/>
  <c r="V29" i="8"/>
  <c r="L14" i="9"/>
  <c r="P12" i="12"/>
  <c r="X27" i="12"/>
  <c r="Z27" i="12"/>
  <c r="N48" i="12"/>
  <c r="Z61" i="12"/>
  <c r="L71" i="12"/>
  <c r="N71" i="12"/>
  <c r="L24" i="15"/>
  <c r="N24" i="15" s="1"/>
  <c r="N35" i="15"/>
  <c r="L35" i="15"/>
  <c r="N46" i="15"/>
  <c r="V24" i="5"/>
  <c r="V16" i="6"/>
  <c r="V20" i="6"/>
  <c r="V26" i="6"/>
  <c r="H84" i="9"/>
  <c r="N16" i="9"/>
  <c r="P84" i="9"/>
  <c r="V34" i="10"/>
  <c r="V31" i="10"/>
  <c r="V27" i="10"/>
  <c r="X12" i="10"/>
  <c r="V21" i="10"/>
  <c r="V18" i="10"/>
  <c r="V36" i="10"/>
  <c r="V33" i="10"/>
  <c r="V29" i="10"/>
  <c r="V25" i="10"/>
  <c r="T18" i="10"/>
  <c r="V15" i="10"/>
  <c r="V22" i="10"/>
  <c r="V20" i="10"/>
  <c r="V16" i="10"/>
  <c r="Z12" i="10"/>
  <c r="X19" i="12"/>
  <c r="Z19" i="12" s="1"/>
  <c r="T12" i="12"/>
  <c r="L63" i="12"/>
  <c r="N63" i="12" s="1"/>
  <c r="N137" i="12"/>
  <c r="Z12" i="4"/>
  <c r="V16" i="4"/>
  <c r="F27" i="5"/>
  <c r="V27" i="5"/>
  <c r="F31" i="5"/>
  <c r="V31" i="5"/>
  <c r="R15" i="7"/>
  <c r="P18" i="7"/>
  <c r="R25" i="7"/>
  <c r="R29" i="7"/>
  <c r="R33" i="7"/>
  <c r="Z12" i="8"/>
  <c r="V16" i="8"/>
  <c r="P18" i="8"/>
  <c r="N14" i="9"/>
  <c r="V16" i="9"/>
  <c r="Z43" i="9"/>
  <c r="V74" i="9"/>
  <c r="N21" i="10"/>
  <c r="L21" i="10"/>
  <c r="N17" i="12"/>
  <c r="N32" i="12"/>
  <c r="L47" i="12"/>
  <c r="N47" i="12"/>
  <c r="L55" i="12"/>
  <c r="N55" i="12"/>
  <c r="Z60" i="12"/>
  <c r="X114" i="12"/>
  <c r="Z114" i="12" s="1"/>
  <c r="L152" i="12"/>
  <c r="N152" i="12" s="1"/>
  <c r="N168" i="12"/>
  <c r="N181" i="12"/>
  <c r="Z201" i="12"/>
  <c r="L24" i="13"/>
  <c r="P12" i="15"/>
  <c r="X13" i="15"/>
  <c r="Z13" i="15" s="1"/>
  <c r="L16" i="15"/>
  <c r="N16" i="15" s="1"/>
  <c r="X28" i="15"/>
  <c r="Z28" i="15"/>
  <c r="R18" i="9"/>
  <c r="R21" i="9"/>
  <c r="J24" i="9"/>
  <c r="F25" i="9"/>
  <c r="R29" i="9"/>
  <c r="J30" i="9"/>
  <c r="R33" i="9"/>
  <c r="J36" i="9"/>
  <c r="J44" i="9"/>
  <c r="F53" i="9"/>
  <c r="R54" i="9"/>
  <c r="F56" i="9"/>
  <c r="R57" i="9"/>
  <c r="F60" i="9"/>
  <c r="R61" i="9"/>
  <c r="F64" i="9"/>
  <c r="R65" i="9"/>
  <c r="J66" i="9"/>
  <c r="F69" i="9"/>
  <c r="R73" i="9"/>
  <c r="J74" i="9"/>
  <c r="J80" i="9"/>
  <c r="F82" i="9"/>
  <c r="J86" i="9"/>
  <c r="F88" i="9"/>
  <c r="F16" i="10"/>
  <c r="F20" i="10"/>
  <c r="R22" i="10"/>
  <c r="J24" i="10"/>
  <c r="J21" i="11"/>
  <c r="F27" i="11"/>
  <c r="V27" i="11"/>
  <c r="F31" i="11"/>
  <c r="V31" i="11"/>
  <c r="F34" i="11"/>
  <c r="V34" i="11"/>
  <c r="P200" i="12"/>
  <c r="R15" i="13"/>
  <c r="P18" i="13"/>
  <c r="R25" i="13"/>
  <c r="J27" i="13"/>
  <c r="R29" i="13"/>
  <c r="J31" i="13"/>
  <c r="R33" i="13"/>
  <c r="J34" i="13"/>
  <c r="R36" i="13"/>
  <c r="N47" i="15"/>
  <c r="L62" i="15"/>
  <c r="N62" i="15" s="1"/>
  <c r="X66" i="15"/>
  <c r="Z66" i="15" s="1"/>
  <c r="Z121" i="15"/>
  <c r="Z135" i="15"/>
  <c r="X150" i="15"/>
  <c r="Z150" i="15" s="1"/>
  <c r="L152" i="15"/>
  <c r="N152" i="15" s="1"/>
  <c r="Z181" i="15"/>
  <c r="X181" i="15"/>
  <c r="L196" i="15"/>
  <c r="N196" i="15" s="1"/>
  <c r="D193" i="15"/>
  <c r="L193" i="15" s="1"/>
  <c r="N20" i="17"/>
  <c r="L20" i="17"/>
  <c r="Z24" i="18"/>
  <c r="N27" i="18"/>
  <c r="Z35" i="18"/>
  <c r="Z131" i="18"/>
  <c r="V21" i="19"/>
  <c r="V18" i="19"/>
  <c r="V36" i="19"/>
  <c r="V33" i="19"/>
  <c r="V29" i="19"/>
  <c r="V25" i="19"/>
  <c r="T18" i="19"/>
  <c r="V15" i="19"/>
  <c r="V22" i="19"/>
  <c r="V20" i="19"/>
  <c r="V16" i="19"/>
  <c r="Z12" i="19"/>
  <c r="V34" i="19"/>
  <c r="V31" i="19"/>
  <c r="V27" i="19"/>
  <c r="J19" i="9"/>
  <c r="R22" i="9"/>
  <c r="J25" i="9"/>
  <c r="F26" i="9"/>
  <c r="L30" i="9"/>
  <c r="N30" i="9" s="1"/>
  <c r="R34" i="9"/>
  <c r="F37" i="9"/>
  <c r="R38" i="9"/>
  <c r="J39" i="9"/>
  <c r="F42" i="9"/>
  <c r="R43" i="9"/>
  <c r="F45" i="9"/>
  <c r="R46" i="9"/>
  <c r="J47" i="9"/>
  <c r="F50" i="9"/>
  <c r="J53" i="9"/>
  <c r="X56" i="9"/>
  <c r="Z56" i="9" s="1"/>
  <c r="R58" i="9"/>
  <c r="X60" i="9"/>
  <c r="Z60" i="9" s="1"/>
  <c r="R62" i="9"/>
  <c r="X64" i="9"/>
  <c r="Z64" i="9" s="1"/>
  <c r="L66" i="9"/>
  <c r="N66" i="9" s="1"/>
  <c r="J69" i="9"/>
  <c r="F70" i="9"/>
  <c r="L74" i="9"/>
  <c r="N74" i="9" s="1"/>
  <c r="F78" i="9"/>
  <c r="R79" i="9"/>
  <c r="X82" i="9"/>
  <c r="X16" i="10"/>
  <c r="X20" i="10"/>
  <c r="L24" i="10"/>
  <c r="R25" i="10"/>
  <c r="J27" i="10"/>
  <c r="R29" i="10"/>
  <c r="J31" i="10"/>
  <c r="R33" i="10"/>
  <c r="J34" i="10"/>
  <c r="R36" i="10"/>
  <c r="Z12" i="11"/>
  <c r="V16" i="11"/>
  <c r="V20" i="11"/>
  <c r="L21" i="11"/>
  <c r="J24" i="11"/>
  <c r="X34" i="11"/>
  <c r="X75" i="12"/>
  <c r="Z75" i="12" s="1"/>
  <c r="L125" i="12"/>
  <c r="N125" i="12" s="1"/>
  <c r="X135" i="12"/>
  <c r="Z135" i="12" s="1"/>
  <c r="L137" i="12"/>
  <c r="X147" i="12"/>
  <c r="Z147" i="12" s="1"/>
  <c r="L149" i="12"/>
  <c r="N149" i="12" s="1"/>
  <c r="J16" i="13"/>
  <c r="R18" i="13"/>
  <c r="J20" i="13"/>
  <c r="F22" i="13"/>
  <c r="V22" i="13"/>
  <c r="L34" i="13"/>
  <c r="R15" i="14"/>
  <c r="X16" i="14"/>
  <c r="P18" i="14"/>
  <c r="X20" i="14"/>
  <c r="R25" i="14"/>
  <c r="R29" i="14"/>
  <c r="R33" i="14"/>
  <c r="R36" i="14"/>
  <c r="D12" i="15"/>
  <c r="Z31" i="15"/>
  <c r="Z35" i="15"/>
  <c r="Z38" i="15"/>
  <c r="L46" i="15"/>
  <c r="Z51" i="15"/>
  <c r="Z54" i="15"/>
  <c r="L70" i="15"/>
  <c r="Z129" i="15"/>
  <c r="X129" i="15"/>
  <c r="Z138" i="15"/>
  <c r="X138" i="15"/>
  <c r="Z15" i="16"/>
  <c r="T18" i="16"/>
  <c r="X29" i="16"/>
  <c r="L16" i="17"/>
  <c r="X22" i="17"/>
  <c r="Z16" i="18"/>
  <c r="N19" i="18"/>
  <c r="N23" i="18"/>
  <c r="Z31" i="18"/>
  <c r="N44" i="18"/>
  <c r="Z50" i="18"/>
  <c r="N52" i="18"/>
  <c r="N63" i="18"/>
  <c r="Z71" i="18"/>
  <c r="Z216" i="18"/>
  <c r="T215" i="18"/>
  <c r="F14" i="9"/>
  <c r="F18" i="9"/>
  <c r="R23" i="9"/>
  <c r="J26" i="9"/>
  <c r="F27" i="9"/>
  <c r="F31" i="9"/>
  <c r="R35" i="9"/>
  <c r="J42" i="9"/>
  <c r="J50" i="9"/>
  <c r="F51" i="9"/>
  <c r="R52" i="9"/>
  <c r="F54" i="9"/>
  <c r="R55" i="9"/>
  <c r="J56" i="9"/>
  <c r="R59" i="9"/>
  <c r="J60" i="9"/>
  <c r="R63" i="9"/>
  <c r="J64" i="9"/>
  <c r="F67" i="9"/>
  <c r="R68" i="9"/>
  <c r="J70" i="9"/>
  <c r="F71" i="9"/>
  <c r="F75" i="9"/>
  <c r="J78" i="9"/>
  <c r="J82" i="9"/>
  <c r="R84" i="9"/>
  <c r="J88" i="9"/>
  <c r="R91" i="9"/>
  <c r="J16" i="10"/>
  <c r="R18" i="10"/>
  <c r="J20" i="10"/>
  <c r="F22" i="10"/>
  <c r="J27" i="11"/>
  <c r="J31" i="11"/>
  <c r="J34" i="11"/>
  <c r="D12" i="12"/>
  <c r="D200" i="12"/>
  <c r="L200" i="12" s="1"/>
  <c r="T200" i="12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F22" i="14"/>
  <c r="H12" i="15"/>
  <c r="L40" i="15"/>
  <c r="L56" i="15"/>
  <c r="N59" i="15"/>
  <c r="Z63" i="15"/>
  <c r="X73" i="15"/>
  <c r="Z73" i="15" s="1"/>
  <c r="Z141" i="15"/>
  <c r="X141" i="15"/>
  <c r="L155" i="15"/>
  <c r="N155" i="15" s="1"/>
  <c r="X196" i="15"/>
  <c r="Z196" i="15" s="1"/>
  <c r="F20" i="16"/>
  <c r="F16" i="16"/>
  <c r="F34" i="16"/>
  <c r="F31" i="16"/>
  <c r="F27" i="16"/>
  <c r="F24" i="16"/>
  <c r="F21" i="16"/>
  <c r="F18" i="16"/>
  <c r="F36" i="16"/>
  <c r="F33" i="16"/>
  <c r="F29" i="16"/>
  <c r="F25" i="16"/>
  <c r="D18" i="16"/>
  <c r="F15" i="16"/>
  <c r="L12" i="16"/>
  <c r="D12" i="18"/>
  <c r="N15" i="18"/>
  <c r="X23" i="18"/>
  <c r="N26" i="18"/>
  <c r="Z27" i="18"/>
  <c r="Z56" i="18"/>
  <c r="N59" i="18"/>
  <c r="X63" i="18"/>
  <c r="Z63" i="18" s="1"/>
  <c r="Z67" i="18"/>
  <c r="L132" i="18"/>
  <c r="X174" i="18"/>
  <c r="Z177" i="18"/>
  <c r="L188" i="18"/>
  <c r="L212" i="18"/>
  <c r="N15" i="21"/>
  <c r="L15" i="21"/>
  <c r="F20" i="9"/>
  <c r="F28" i="9"/>
  <c r="F32" i="9"/>
  <c r="R36" i="9"/>
  <c r="J37" i="9"/>
  <c r="F40" i="9"/>
  <c r="R41" i="9"/>
  <c r="F43" i="9"/>
  <c r="R44" i="9"/>
  <c r="J45" i="9"/>
  <c r="F48" i="9"/>
  <c r="R49" i="9"/>
  <c r="J51" i="9"/>
  <c r="J67" i="9"/>
  <c r="J71" i="9"/>
  <c r="F72" i="9"/>
  <c r="J75" i="9"/>
  <c r="F76" i="9"/>
  <c r="R77" i="9"/>
  <c r="F79" i="9"/>
  <c r="R80" i="9"/>
  <c r="R86" i="9"/>
  <c r="F29" i="10"/>
  <c r="F33" i="10"/>
  <c r="F36" i="10"/>
  <c r="J16" i="11"/>
  <c r="J20" i="11"/>
  <c r="V22" i="11"/>
  <c r="R24" i="13"/>
  <c r="X44" i="15"/>
  <c r="Z44" i="15" s="1"/>
  <c r="X60" i="15"/>
  <c r="Z60" i="15" s="1"/>
  <c r="N131" i="15"/>
  <c r="L131" i="15"/>
  <c r="N194" i="15"/>
  <c r="H193" i="15"/>
  <c r="L194" i="15"/>
  <c r="J24" i="16"/>
  <c r="J21" i="16"/>
  <c r="J18" i="16"/>
  <c r="J36" i="16"/>
  <c r="J33" i="16"/>
  <c r="J29" i="16"/>
  <c r="J25" i="16"/>
  <c r="H18" i="16"/>
  <c r="J15" i="16"/>
  <c r="J22" i="16"/>
  <c r="N12" i="16"/>
  <c r="Z22" i="16"/>
  <c r="X22" i="16"/>
  <c r="J27" i="16"/>
  <c r="P12" i="18"/>
  <c r="N18" i="18"/>
  <c r="Z23" i="18"/>
  <c r="Z30" i="18"/>
  <c r="L43" i="18"/>
  <c r="N132" i="18"/>
  <c r="Z174" i="18"/>
  <c r="N188" i="18"/>
  <c r="N212" i="18"/>
  <c r="V24" i="19"/>
  <c r="R36" i="20"/>
  <c r="R24" i="20"/>
  <c r="R21" i="20"/>
  <c r="R18" i="20"/>
  <c r="R33" i="20"/>
  <c r="R29" i="20"/>
  <c r="R25" i="20"/>
  <c r="P18" i="20"/>
  <c r="R15" i="20"/>
  <c r="R22" i="20"/>
  <c r="X12" i="20"/>
  <c r="R20" i="20"/>
  <c r="R16" i="20"/>
  <c r="D12" i="21"/>
  <c r="L14" i="21"/>
  <c r="N14" i="21" s="1"/>
  <c r="N12" i="9"/>
  <c r="J14" i="9"/>
  <c r="R16" i="9"/>
  <c r="J18" i="9"/>
  <c r="J20" i="9"/>
  <c r="F21" i="9"/>
  <c r="R25" i="9"/>
  <c r="J28" i="9"/>
  <c r="F29" i="9"/>
  <c r="R30" i="9"/>
  <c r="J32" i="9"/>
  <c r="F33" i="9"/>
  <c r="J40" i="9"/>
  <c r="J48" i="9"/>
  <c r="F52" i="9"/>
  <c r="R53" i="9"/>
  <c r="J54" i="9"/>
  <c r="F57" i="9"/>
  <c r="F61" i="9"/>
  <c r="F65" i="9"/>
  <c r="R66" i="9"/>
  <c r="F68" i="9"/>
  <c r="R69" i="9"/>
  <c r="J72" i="9"/>
  <c r="F73" i="9"/>
  <c r="R74" i="9"/>
  <c r="J76" i="9"/>
  <c r="F84" i="9"/>
  <c r="F91" i="9"/>
  <c r="N12" i="10"/>
  <c r="F18" i="10"/>
  <c r="J22" i="10"/>
  <c r="R24" i="10"/>
  <c r="L12" i="11"/>
  <c r="F15" i="11"/>
  <c r="V15" i="11"/>
  <c r="D18" i="11"/>
  <c r="T18" i="11"/>
  <c r="F25" i="11"/>
  <c r="V25" i="11"/>
  <c r="F29" i="11"/>
  <c r="V29" i="11"/>
  <c r="F33" i="11"/>
  <c r="V33" i="11"/>
  <c r="F36" i="11"/>
  <c r="V36" i="11"/>
  <c r="X16" i="12"/>
  <c r="Z16" i="12" s="1"/>
  <c r="L20" i="12"/>
  <c r="N20" i="12" s="1"/>
  <c r="X24" i="12"/>
  <c r="Z24" i="12" s="1"/>
  <c r="L28" i="12"/>
  <c r="N28" i="12" s="1"/>
  <c r="X32" i="12"/>
  <c r="Z32" i="12" s="1"/>
  <c r="L36" i="12"/>
  <c r="N36" i="12" s="1"/>
  <c r="X40" i="12"/>
  <c r="Z40" i="12" s="1"/>
  <c r="L44" i="12"/>
  <c r="X48" i="12"/>
  <c r="Z48" i="12" s="1"/>
  <c r="L52" i="12"/>
  <c r="N52" i="12" s="1"/>
  <c r="X56" i="12"/>
  <c r="Z56" i="12" s="1"/>
  <c r="L60" i="12"/>
  <c r="N60" i="12" s="1"/>
  <c r="X64" i="12"/>
  <c r="Z64" i="12" s="1"/>
  <c r="L68" i="12"/>
  <c r="N68" i="12" s="1"/>
  <c r="X72" i="12"/>
  <c r="Z72" i="12" s="1"/>
  <c r="F21" i="13"/>
  <c r="R27" i="13"/>
  <c r="J29" i="13"/>
  <c r="R31" i="13"/>
  <c r="J33" i="13"/>
  <c r="R34" i="13"/>
  <c r="J36" i="13"/>
  <c r="L13" i="14"/>
  <c r="L13" i="15"/>
  <c r="N13" i="15" s="1"/>
  <c r="X17" i="15"/>
  <c r="Z17" i="15" s="1"/>
  <c r="L21" i="15"/>
  <c r="X25" i="15"/>
  <c r="Z25" i="15" s="1"/>
  <c r="L29" i="15"/>
  <c r="N29" i="15" s="1"/>
  <c r="N39" i="15"/>
  <c r="N55" i="15"/>
  <c r="L73" i="15"/>
  <c r="N73" i="15" s="1"/>
  <c r="Z133" i="15"/>
  <c r="N143" i="15"/>
  <c r="L143" i="15"/>
  <c r="T193" i="15"/>
  <c r="Z15" i="18"/>
  <c r="N43" i="18"/>
  <c r="Z48" i="18"/>
  <c r="N51" i="18"/>
  <c r="X55" i="18"/>
  <c r="N58" i="18"/>
  <c r="Z59" i="18"/>
  <c r="Z165" i="18"/>
  <c r="N179" i="18"/>
  <c r="N196" i="18"/>
  <c r="D16" i="9"/>
  <c r="R19" i="9"/>
  <c r="J21" i="9"/>
  <c r="F22" i="9"/>
  <c r="R26" i="9"/>
  <c r="J29" i="9"/>
  <c r="J33" i="9"/>
  <c r="F34" i="9"/>
  <c r="F38" i="9"/>
  <c r="R39" i="9"/>
  <c r="F41" i="9"/>
  <c r="R42" i="9"/>
  <c r="J43" i="9"/>
  <c r="F46" i="9"/>
  <c r="R47" i="9"/>
  <c r="F49" i="9"/>
  <c r="R50" i="9"/>
  <c r="J57" i="9"/>
  <c r="F58" i="9"/>
  <c r="J61" i="9"/>
  <c r="F62" i="9"/>
  <c r="J65" i="9"/>
  <c r="R70" i="9"/>
  <c r="J73" i="9"/>
  <c r="F77" i="9"/>
  <c r="R78" i="9"/>
  <c r="J79" i="9"/>
  <c r="J15" i="10"/>
  <c r="H18" i="10"/>
  <c r="F21" i="10"/>
  <c r="J25" i="10"/>
  <c r="R27" i="10"/>
  <c r="J29" i="10"/>
  <c r="R31" i="10"/>
  <c r="J33" i="10"/>
  <c r="N12" i="11"/>
  <c r="V18" i="11"/>
  <c r="J22" i="11"/>
  <c r="R16" i="13"/>
  <c r="R27" i="14"/>
  <c r="R31" i="14"/>
  <c r="X40" i="15"/>
  <c r="Z40" i="15" s="1"/>
  <c r="Z43" i="15"/>
  <c r="Z46" i="15"/>
  <c r="X56" i="15"/>
  <c r="Z56" i="15" s="1"/>
  <c r="Z59" i="15"/>
  <c r="L64" i="15"/>
  <c r="N64" i="15" s="1"/>
  <c r="X68" i="15"/>
  <c r="Z68" i="15" s="1"/>
  <c r="N135" i="15"/>
  <c r="Z145" i="15"/>
  <c r="L171" i="15"/>
  <c r="N171" i="15" s="1"/>
  <c r="N16" i="16"/>
  <c r="L16" i="16"/>
  <c r="J31" i="16"/>
  <c r="Z22" i="18"/>
  <c r="N28" i="18"/>
  <c r="L35" i="18"/>
  <c r="N35" i="18" s="1"/>
  <c r="N39" i="18"/>
  <c r="X47" i="18"/>
  <c r="Z55" i="18"/>
  <c r="Z66" i="18"/>
  <c r="N68" i="18"/>
  <c r="L75" i="18"/>
  <c r="N75" i="18" s="1"/>
  <c r="Z80" i="18"/>
  <c r="N170" i="18"/>
  <c r="Z188" i="18"/>
  <c r="L208" i="18"/>
  <c r="L216" i="18"/>
  <c r="D215" i="18"/>
  <c r="L215" i="18" s="1"/>
  <c r="N215" i="18" s="1"/>
  <c r="X24" i="20"/>
  <c r="Z47" i="18"/>
  <c r="N50" i="18"/>
  <c r="N208" i="18"/>
  <c r="X215" i="18"/>
  <c r="F19" i="9"/>
  <c r="J23" i="9"/>
  <c r="F24" i="9"/>
  <c r="R28" i="9"/>
  <c r="R32" i="9"/>
  <c r="J35" i="9"/>
  <c r="F36" i="9"/>
  <c r="R37" i="9"/>
  <c r="F39" i="9"/>
  <c r="R40" i="9"/>
  <c r="J41" i="9"/>
  <c r="F44" i="9"/>
  <c r="R45" i="9"/>
  <c r="F47" i="9"/>
  <c r="R48" i="9"/>
  <c r="J49" i="9"/>
  <c r="J55" i="9"/>
  <c r="J59" i="9"/>
  <c r="J63" i="9"/>
  <c r="R72" i="9"/>
  <c r="F80" i="9"/>
  <c r="F27" i="10"/>
  <c r="F31" i="10"/>
  <c r="Z39" i="15"/>
  <c r="Z55" i="15"/>
  <c r="N63" i="15"/>
  <c r="Z67" i="15"/>
  <c r="N71" i="15"/>
  <c r="N184" i="15"/>
  <c r="L184" i="15"/>
  <c r="N197" i="15"/>
  <c r="L197" i="15"/>
  <c r="F34" i="17"/>
  <c r="F31" i="17"/>
  <c r="F27" i="17"/>
  <c r="F24" i="17"/>
  <c r="F21" i="17"/>
  <c r="F18" i="17"/>
  <c r="F36" i="17"/>
  <c r="F33" i="17"/>
  <c r="F29" i="17"/>
  <c r="F25" i="17"/>
  <c r="D18" i="17"/>
  <c r="F15" i="17"/>
  <c r="L12" i="17"/>
  <c r="F22" i="17"/>
  <c r="F20" i="17"/>
  <c r="N34" i="17"/>
  <c r="L34" i="17"/>
  <c r="N31" i="18"/>
  <c r="Z39" i="18"/>
  <c r="N60" i="18"/>
  <c r="L67" i="18"/>
  <c r="N67" i="18" s="1"/>
  <c r="N71" i="18"/>
  <c r="N78" i="18"/>
  <c r="X79" i="18"/>
  <c r="N82" i="18"/>
  <c r="Z83" i="18"/>
  <c r="N143" i="18"/>
  <c r="N155" i="18"/>
  <c r="N184" i="18"/>
  <c r="Z206" i="18"/>
  <c r="H27" i="20"/>
  <c r="R27" i="20"/>
  <c r="R31" i="20"/>
  <c r="J16" i="17"/>
  <c r="J20" i="17"/>
  <c r="H12" i="18"/>
  <c r="Z14" i="18"/>
  <c r="X15" i="18"/>
  <c r="L217" i="18"/>
  <c r="X12" i="19"/>
  <c r="J21" i="19"/>
  <c r="F27" i="19"/>
  <c r="F31" i="19"/>
  <c r="F34" i="19"/>
  <c r="L15" i="20"/>
  <c r="J18" i="20"/>
  <c r="F24" i="20"/>
  <c r="V24" i="20"/>
  <c r="X15" i="21"/>
  <c r="Z38" i="21"/>
  <c r="Z62" i="21"/>
  <c r="Z41" i="24"/>
  <c r="N47" i="24"/>
  <c r="N52" i="24"/>
  <c r="N15" i="27"/>
  <c r="Z19" i="27"/>
  <c r="N15" i="30"/>
  <c r="N38" i="30"/>
  <c r="N76" i="30"/>
  <c r="N86" i="30"/>
  <c r="N92" i="30"/>
  <c r="V18" i="16"/>
  <c r="R24" i="16"/>
  <c r="V15" i="17"/>
  <c r="T18" i="17"/>
  <c r="R21" i="17"/>
  <c r="V25" i="17"/>
  <c r="V29" i="17"/>
  <c r="V33" i="17"/>
  <c r="V36" i="17"/>
  <c r="N217" i="18"/>
  <c r="F16" i="19"/>
  <c r="N18" i="19"/>
  <c r="F20" i="19"/>
  <c r="R22" i="19"/>
  <c r="J24" i="19"/>
  <c r="J21" i="20"/>
  <c r="F27" i="20"/>
  <c r="V27" i="20"/>
  <c r="F31" i="20"/>
  <c r="V31" i="20"/>
  <c r="F34" i="20"/>
  <c r="L13" i="21"/>
  <c r="H12" i="21"/>
  <c r="T12" i="21"/>
  <c r="Z24" i="24"/>
  <c r="F102" i="27"/>
  <c r="F97" i="27"/>
  <c r="F88" i="27"/>
  <c r="F65" i="27"/>
  <c r="F61" i="27"/>
  <c r="F52" i="27"/>
  <c r="F45" i="27"/>
  <c r="F37" i="27"/>
  <c r="F106" i="27"/>
  <c r="F84" i="27"/>
  <c r="F79" i="27"/>
  <c r="F76" i="27"/>
  <c r="F71" i="27"/>
  <c r="F64" i="27"/>
  <c r="F60" i="27"/>
  <c r="F44" i="27"/>
  <c r="F36" i="27"/>
  <c r="L12" i="27"/>
  <c r="F100" i="27"/>
  <c r="F90" i="27"/>
  <c r="F87" i="27"/>
  <c r="F59" i="27"/>
  <c r="F43" i="27"/>
  <c r="F93" i="27"/>
  <c r="F86" i="27"/>
  <c r="F81" i="27"/>
  <c r="F78" i="27"/>
  <c r="F73" i="27"/>
  <c r="F70" i="27"/>
  <c r="F58" i="27"/>
  <c r="F53" i="27"/>
  <c r="F42" i="27"/>
  <c r="F96" i="27"/>
  <c r="F89" i="27"/>
  <c r="F69" i="27"/>
  <c r="F57" i="27"/>
  <c r="F50" i="27"/>
  <c r="F41" i="27"/>
  <c r="F101" i="27"/>
  <c r="F92" i="27"/>
  <c r="F83" i="27"/>
  <c r="F80" i="27"/>
  <c r="F75" i="27"/>
  <c r="F72" i="27"/>
  <c r="F68" i="27"/>
  <c r="F63" i="27"/>
  <c r="F56" i="27"/>
  <c r="D50" i="27"/>
  <c r="F48" i="27"/>
  <c r="F40" i="27"/>
  <c r="F35" i="27"/>
  <c r="F95" i="27"/>
  <c r="F91" i="27"/>
  <c r="F67" i="27"/>
  <c r="F55" i="27"/>
  <c r="F47" i="27"/>
  <c r="F39" i="27"/>
  <c r="F99" i="27"/>
  <c r="F94" i="27"/>
  <c r="F85" i="27"/>
  <c r="F82" i="27"/>
  <c r="F77" i="27"/>
  <c r="F74" i="27"/>
  <c r="F66" i="27"/>
  <c r="F62" i="27"/>
  <c r="F54" i="27"/>
  <c r="F46" i="27"/>
  <c r="F38" i="27"/>
  <c r="N83" i="27"/>
  <c r="R27" i="16"/>
  <c r="R31" i="16"/>
  <c r="R34" i="16"/>
  <c r="N12" i="17"/>
  <c r="J22" i="17"/>
  <c r="R15" i="19"/>
  <c r="P18" i="19"/>
  <c r="R25" i="19"/>
  <c r="J27" i="19"/>
  <c r="R29" i="19"/>
  <c r="J31" i="19"/>
  <c r="R33" i="19"/>
  <c r="J34" i="19"/>
  <c r="R36" i="19"/>
  <c r="N53" i="27"/>
  <c r="R16" i="16"/>
  <c r="R20" i="16"/>
  <c r="V24" i="16"/>
  <c r="J15" i="17"/>
  <c r="H18" i="17"/>
  <c r="V21" i="17"/>
  <c r="J25" i="17"/>
  <c r="R27" i="17"/>
  <c r="J29" i="17"/>
  <c r="R31" i="17"/>
  <c r="J33" i="17"/>
  <c r="R34" i="17"/>
  <c r="J36" i="17"/>
  <c r="L14" i="18"/>
  <c r="N14" i="18" s="1"/>
  <c r="X18" i="18"/>
  <c r="Z18" i="18" s="1"/>
  <c r="L22" i="18"/>
  <c r="N22" i="18" s="1"/>
  <c r="X26" i="18"/>
  <c r="Z26" i="18" s="1"/>
  <c r="L30" i="18"/>
  <c r="N30" i="18" s="1"/>
  <c r="X34" i="18"/>
  <c r="Z34" i="18" s="1"/>
  <c r="L38" i="18"/>
  <c r="N38" i="18" s="1"/>
  <c r="X42" i="18"/>
  <c r="Z42" i="18" s="1"/>
  <c r="L46" i="18"/>
  <c r="N46" i="18" s="1"/>
  <c r="X50" i="18"/>
  <c r="L54" i="18"/>
  <c r="N54" i="18" s="1"/>
  <c r="X58" i="18"/>
  <c r="Z58" i="18" s="1"/>
  <c r="L62" i="18"/>
  <c r="X66" i="18"/>
  <c r="L70" i="18"/>
  <c r="N70" i="18" s="1"/>
  <c r="X82" i="18"/>
  <c r="Z82" i="18" s="1"/>
  <c r="L86" i="18"/>
  <c r="N86" i="18" s="1"/>
  <c r="J16" i="19"/>
  <c r="R18" i="19"/>
  <c r="J20" i="19"/>
  <c r="F22" i="19"/>
  <c r="J27" i="20"/>
  <c r="J31" i="20"/>
  <c r="J34" i="20"/>
  <c r="F36" i="20"/>
  <c r="Z18" i="27"/>
  <c r="Z28" i="27"/>
  <c r="Z49" i="30"/>
  <c r="X12" i="16"/>
  <c r="V27" i="16"/>
  <c r="V31" i="16"/>
  <c r="V34" i="16"/>
  <c r="J18" i="17"/>
  <c r="R20" i="17"/>
  <c r="V24" i="17"/>
  <c r="X157" i="18"/>
  <c r="Z157" i="18" s="1"/>
  <c r="L163" i="18"/>
  <c r="L203" i="18"/>
  <c r="N203" i="18" s="1"/>
  <c r="L221" i="18"/>
  <c r="L12" i="19"/>
  <c r="F15" i="19"/>
  <c r="D18" i="19"/>
  <c r="R21" i="19"/>
  <c r="F25" i="19"/>
  <c r="F29" i="19"/>
  <c r="F33" i="19"/>
  <c r="F36" i="19"/>
  <c r="J16" i="20"/>
  <c r="J20" i="20"/>
  <c r="F22" i="20"/>
  <c r="V22" i="20"/>
  <c r="L22" i="21"/>
  <c r="N22" i="21" s="1"/>
  <c r="N28" i="21"/>
  <c r="N44" i="21"/>
  <c r="N23" i="27"/>
  <c r="N71" i="27"/>
  <c r="Z75" i="27"/>
  <c r="Z99" i="27"/>
  <c r="Z18" i="30"/>
  <c r="Z26" i="30"/>
  <c r="Z34" i="30"/>
  <c r="Z42" i="30"/>
  <c r="Z12" i="16"/>
  <c r="V16" i="16"/>
  <c r="V27" i="17"/>
  <c r="V31" i="17"/>
  <c r="N12" i="19"/>
  <c r="R24" i="19"/>
  <c r="L12" i="20"/>
  <c r="F15" i="20"/>
  <c r="D18" i="20"/>
  <c r="F25" i="20"/>
  <c r="V25" i="20"/>
  <c r="F29" i="20"/>
  <c r="V29" i="20"/>
  <c r="V33" i="20"/>
  <c r="J106" i="27"/>
  <c r="J100" i="27"/>
  <c r="J90" i="27"/>
  <c r="J84" i="27"/>
  <c r="J76" i="27"/>
  <c r="J64" i="27"/>
  <c r="J60" i="27"/>
  <c r="J44" i="27"/>
  <c r="J36" i="27"/>
  <c r="N12" i="27"/>
  <c r="J93" i="27"/>
  <c r="J87" i="27"/>
  <c r="J81" i="27"/>
  <c r="J73" i="27"/>
  <c r="J59" i="27"/>
  <c r="J53" i="27"/>
  <c r="J43" i="27"/>
  <c r="J96" i="27"/>
  <c r="J86" i="27"/>
  <c r="J78" i="27"/>
  <c r="J70" i="27"/>
  <c r="J58" i="27"/>
  <c r="J42" i="27"/>
  <c r="J101" i="27"/>
  <c r="J89" i="27"/>
  <c r="J83" i="27"/>
  <c r="J75" i="27"/>
  <c r="J69" i="27"/>
  <c r="J63" i="27"/>
  <c r="J57" i="27"/>
  <c r="H50" i="27"/>
  <c r="J41" i="27"/>
  <c r="J35" i="27"/>
  <c r="J92" i="27"/>
  <c r="J80" i="27"/>
  <c r="J72" i="27"/>
  <c r="J68" i="27"/>
  <c r="J56" i="27"/>
  <c r="J48" i="27"/>
  <c r="J40" i="27"/>
  <c r="J99" i="27"/>
  <c r="J95" i="27"/>
  <c r="J91" i="27"/>
  <c r="J85" i="27"/>
  <c r="J77" i="27"/>
  <c r="J67" i="27"/>
  <c r="J55" i="27"/>
  <c r="J47" i="27"/>
  <c r="J39" i="27"/>
  <c r="J102" i="27"/>
  <c r="J94" i="27"/>
  <c r="J88" i="27"/>
  <c r="J82" i="27"/>
  <c r="J74" i="27"/>
  <c r="J66" i="27"/>
  <c r="J62" i="27"/>
  <c r="J54" i="27"/>
  <c r="J52" i="27"/>
  <c r="J46" i="27"/>
  <c r="J38" i="27"/>
  <c r="J97" i="27"/>
  <c r="J79" i="27"/>
  <c r="J71" i="27"/>
  <c r="J65" i="27"/>
  <c r="J61" i="27"/>
  <c r="J45" i="27"/>
  <c r="J37" i="27"/>
  <c r="R27" i="19"/>
  <c r="R31" i="19"/>
  <c r="R72" i="21"/>
  <c r="R68" i="21"/>
  <c r="R64" i="21"/>
  <c r="R60" i="21"/>
  <c r="R57" i="21"/>
  <c r="R52" i="21"/>
  <c r="R40" i="21"/>
  <c r="R36" i="21"/>
  <c r="R29" i="21"/>
  <c r="X12" i="21"/>
  <c r="R67" i="21"/>
  <c r="R63" i="21"/>
  <c r="R48" i="21"/>
  <c r="R43" i="21"/>
  <c r="R39" i="21"/>
  <c r="R35" i="21"/>
  <c r="R80" i="21"/>
  <c r="R74" i="21"/>
  <c r="R71" i="21"/>
  <c r="R59" i="21"/>
  <c r="R54" i="21"/>
  <c r="R51" i="21"/>
  <c r="R34" i="21"/>
  <c r="P26" i="21"/>
  <c r="R66" i="21"/>
  <c r="R62" i="21"/>
  <c r="R45" i="21"/>
  <c r="R42" i="21"/>
  <c r="R38" i="21"/>
  <c r="R33" i="21"/>
  <c r="R73" i="21"/>
  <c r="R56" i="21"/>
  <c r="R53" i="21"/>
  <c r="R32" i="21"/>
  <c r="R47" i="21"/>
  <c r="R44" i="21"/>
  <c r="R31" i="21"/>
  <c r="R28" i="21"/>
  <c r="R23" i="21"/>
  <c r="R70" i="21"/>
  <c r="R58" i="21"/>
  <c r="R55" i="21"/>
  <c r="R50" i="21"/>
  <c r="R30" i="21"/>
  <c r="R76" i="21"/>
  <c r="R69" i="21"/>
  <c r="R65" i="21"/>
  <c r="R61" i="21"/>
  <c r="R49" i="21"/>
  <c r="R46" i="21"/>
  <c r="R41" i="21"/>
  <c r="R37" i="21"/>
  <c r="R22" i="21"/>
  <c r="Z22" i="21"/>
  <c r="V134" i="30"/>
  <c r="V118" i="30"/>
  <c r="V114" i="30"/>
  <c r="V133" i="30"/>
  <c r="V121" i="30"/>
  <c r="V117" i="30"/>
  <c r="V138" i="30"/>
  <c r="V128" i="30"/>
  <c r="V120" i="30"/>
  <c r="V116" i="30"/>
  <c r="V127" i="30"/>
  <c r="V123" i="30"/>
  <c r="V119" i="30"/>
  <c r="V136" i="30"/>
  <c r="V130" i="30"/>
  <c r="V126" i="30"/>
  <c r="V122" i="30"/>
  <c r="V129" i="30"/>
  <c r="V125" i="30"/>
  <c r="V142" i="30"/>
  <c r="V132" i="30"/>
  <c r="V124" i="30"/>
  <c r="V112" i="30"/>
  <c r="V137" i="30"/>
  <c r="V131" i="30"/>
  <c r="V115" i="30"/>
  <c r="V111" i="30"/>
  <c r="V107" i="30"/>
  <c r="V103" i="30"/>
  <c r="V95" i="30"/>
  <c r="V87" i="30"/>
  <c r="V83" i="30"/>
  <c r="T74" i="30"/>
  <c r="V67" i="30"/>
  <c r="V59" i="30"/>
  <c r="V113" i="30"/>
  <c r="V110" i="30"/>
  <c r="V106" i="30"/>
  <c r="V94" i="30"/>
  <c r="V86" i="30"/>
  <c r="V82" i="30"/>
  <c r="V66" i="30"/>
  <c r="V58" i="30"/>
  <c r="V109" i="30"/>
  <c r="V97" i="30"/>
  <c r="V81" i="30"/>
  <c r="V65" i="30"/>
  <c r="V57" i="30"/>
  <c r="V108" i="30"/>
  <c r="V100" i="30"/>
  <c r="V96" i="30"/>
  <c r="V80" i="30"/>
  <c r="V76" i="30"/>
  <c r="V72" i="30"/>
  <c r="V64" i="30"/>
  <c r="V56" i="30"/>
  <c r="V99" i="30"/>
  <c r="V91" i="30"/>
  <c r="V79" i="30"/>
  <c r="V71" i="30"/>
  <c r="V63" i="30"/>
  <c r="V55" i="30"/>
  <c r="V102" i="30"/>
  <c r="V98" i="30"/>
  <c r="V90" i="30"/>
  <c r="V78" i="30"/>
  <c r="V70" i="30"/>
  <c r="V62" i="30"/>
  <c r="V54" i="30"/>
  <c r="V105" i="30"/>
  <c r="V101" i="30"/>
  <c r="V93" i="30"/>
  <c r="V89" i="30"/>
  <c r="V85" i="30"/>
  <c r="V77" i="30"/>
  <c r="V69" i="30"/>
  <c r="V61" i="30"/>
  <c r="V53" i="30"/>
  <c r="V104" i="30"/>
  <c r="V92" i="30"/>
  <c r="V88" i="30"/>
  <c r="V84" i="30"/>
  <c r="V74" i="30"/>
  <c r="V68" i="30"/>
  <c r="V60" i="30"/>
  <c r="R16" i="22"/>
  <c r="J18" i="22"/>
  <c r="R20" i="22"/>
  <c r="F24" i="22"/>
  <c r="V24" i="22"/>
  <c r="J15" i="23"/>
  <c r="H18" i="23"/>
  <c r="F21" i="23"/>
  <c r="V21" i="23"/>
  <c r="J25" i="23"/>
  <c r="R27" i="23"/>
  <c r="J29" i="23"/>
  <c r="R31" i="23"/>
  <c r="J33" i="23"/>
  <c r="R34" i="23"/>
  <c r="J36" i="23"/>
  <c r="P12" i="24"/>
  <c r="J18" i="25"/>
  <c r="R20" i="25"/>
  <c r="F24" i="25"/>
  <c r="V24" i="25"/>
  <c r="J15" i="26"/>
  <c r="H18" i="26"/>
  <c r="F21" i="26"/>
  <c r="V21" i="26"/>
  <c r="J25" i="26"/>
  <c r="R27" i="26"/>
  <c r="J29" i="26"/>
  <c r="R31" i="26"/>
  <c r="J33" i="26"/>
  <c r="R34" i="26"/>
  <c r="J36" i="26"/>
  <c r="P12" i="27"/>
  <c r="N13" i="27"/>
  <c r="L14" i="27"/>
  <c r="N14" i="27" s="1"/>
  <c r="R15" i="28"/>
  <c r="X16" i="28"/>
  <c r="P18" i="28"/>
  <c r="X20" i="28"/>
  <c r="L24" i="28"/>
  <c r="R25" i="28"/>
  <c r="J27" i="28"/>
  <c r="R29" i="28"/>
  <c r="J31" i="28"/>
  <c r="R33" i="28"/>
  <c r="J34" i="28"/>
  <c r="R36" i="28"/>
  <c r="F16" i="29"/>
  <c r="V16" i="29"/>
  <c r="F20" i="29"/>
  <c r="V20" i="29"/>
  <c r="R22" i="29"/>
  <c r="J24" i="29"/>
  <c r="N136" i="30"/>
  <c r="L136" i="30"/>
  <c r="N43" i="36"/>
  <c r="F87" i="39"/>
  <c r="F74" i="39"/>
  <c r="F70" i="39"/>
  <c r="F67" i="39"/>
  <c r="F62" i="39"/>
  <c r="F59" i="39"/>
  <c r="F43" i="39"/>
  <c r="F39" i="39"/>
  <c r="F93" i="39"/>
  <c r="F90" i="39"/>
  <c r="F86" i="39"/>
  <c r="F81" i="39"/>
  <c r="F78" i="39"/>
  <c r="F53" i="39"/>
  <c r="F50" i="39"/>
  <c r="F42" i="39"/>
  <c r="F38" i="39"/>
  <c r="F25" i="39"/>
  <c r="F98" i="39"/>
  <c r="F85" i="39"/>
  <c r="F77" i="39"/>
  <c r="F73" i="39"/>
  <c r="F69" i="39"/>
  <c r="F64" i="39"/>
  <c r="F61" i="39"/>
  <c r="F56" i="39"/>
  <c r="F37" i="39"/>
  <c r="F32" i="39"/>
  <c r="F92" i="39"/>
  <c r="F84" i="39"/>
  <c r="F80" i="39"/>
  <c r="F76" i="39"/>
  <c r="F72" i="39"/>
  <c r="F52" i="39"/>
  <c r="F47" i="39"/>
  <c r="F36" i="39"/>
  <c r="F29" i="39"/>
  <c r="F96" i="39"/>
  <c r="F83" i="39"/>
  <c r="F75" i="39"/>
  <c r="F71" i="39"/>
  <c r="F66" i="39"/>
  <c r="F63" i="39"/>
  <c r="F58" i="39"/>
  <c r="F55" i="39"/>
  <c r="F35" i="39"/>
  <c r="D29" i="39"/>
  <c r="F27" i="39"/>
  <c r="F99" i="39"/>
  <c r="F94" i="39"/>
  <c r="F89" i="39"/>
  <c r="F82" i="39"/>
  <c r="F54" i="39"/>
  <c r="F49" i="39"/>
  <c r="F46" i="39"/>
  <c r="F41" i="39"/>
  <c r="F34" i="39"/>
  <c r="F26" i="39"/>
  <c r="F103" i="39"/>
  <c r="F68" i="39"/>
  <c r="F65" i="39"/>
  <c r="F60" i="39"/>
  <c r="F57" i="39"/>
  <c r="F45" i="39"/>
  <c r="F33" i="39"/>
  <c r="F97" i="39"/>
  <c r="F91" i="39"/>
  <c r="F88" i="39"/>
  <c r="F79" i="39"/>
  <c r="F51" i="39"/>
  <c r="F48" i="39"/>
  <c r="F44" i="39"/>
  <c r="F40" i="39"/>
  <c r="F31" i="39"/>
  <c r="Z47" i="39"/>
  <c r="X12" i="22"/>
  <c r="J21" i="22"/>
  <c r="F27" i="22"/>
  <c r="V27" i="22"/>
  <c r="F31" i="22"/>
  <c r="V31" i="22"/>
  <c r="F34" i="22"/>
  <c r="V34" i="22"/>
  <c r="R16" i="23"/>
  <c r="J18" i="23"/>
  <c r="R20" i="23"/>
  <c r="F24" i="23"/>
  <c r="V24" i="23"/>
  <c r="T12" i="24"/>
  <c r="X12" i="25"/>
  <c r="J21" i="25"/>
  <c r="F27" i="25"/>
  <c r="V27" i="25"/>
  <c r="F31" i="25"/>
  <c r="V31" i="25"/>
  <c r="F34" i="25"/>
  <c r="V34" i="25"/>
  <c r="R16" i="26"/>
  <c r="J18" i="26"/>
  <c r="R20" i="26"/>
  <c r="F24" i="26"/>
  <c r="V24" i="26"/>
  <c r="T12" i="27"/>
  <c r="J16" i="28"/>
  <c r="R18" i="28"/>
  <c r="J20" i="28"/>
  <c r="F22" i="28"/>
  <c r="V22" i="28"/>
  <c r="R15" i="29"/>
  <c r="P18" i="29"/>
  <c r="R25" i="29"/>
  <c r="J27" i="29"/>
  <c r="R29" i="29"/>
  <c r="J31" i="29"/>
  <c r="R33" i="29"/>
  <c r="J34" i="29"/>
  <c r="R36" i="29"/>
  <c r="D12" i="30"/>
  <c r="X38" i="30"/>
  <c r="Z38" i="30" s="1"/>
  <c r="X92" i="30"/>
  <c r="Z92" i="30" s="1"/>
  <c r="J67" i="33"/>
  <c r="J59" i="33"/>
  <c r="J53" i="33"/>
  <c r="J47" i="33"/>
  <c r="J33" i="33"/>
  <c r="J31" i="33"/>
  <c r="J72" i="33"/>
  <c r="J64" i="33"/>
  <c r="J56" i="33"/>
  <c r="J52" i="33"/>
  <c r="J44" i="33"/>
  <c r="J40" i="33"/>
  <c r="J63" i="33"/>
  <c r="J55" i="33"/>
  <c r="J49" i="33"/>
  <c r="J43" i="33"/>
  <c r="J39" i="33"/>
  <c r="J25" i="33"/>
  <c r="J76" i="33"/>
  <c r="J70" i="33"/>
  <c r="J66" i="33"/>
  <c r="J62" i="33"/>
  <c r="J58" i="33"/>
  <c r="J46" i="33"/>
  <c r="J42" i="33"/>
  <c r="J38" i="33"/>
  <c r="J32" i="33"/>
  <c r="J61" i="33"/>
  <c r="J51" i="33"/>
  <c r="J37" i="33"/>
  <c r="J68" i="33"/>
  <c r="J60" i="33"/>
  <c r="J54" i="33"/>
  <c r="J48" i="33"/>
  <c r="J36" i="33"/>
  <c r="H29" i="33"/>
  <c r="J71" i="33"/>
  <c r="J65" i="33"/>
  <c r="J57" i="33"/>
  <c r="J45" i="33"/>
  <c r="J41" i="33"/>
  <c r="J35" i="33"/>
  <c r="J27" i="33"/>
  <c r="J50" i="33"/>
  <c r="J34" i="33"/>
  <c r="J26" i="33"/>
  <c r="Z15" i="33"/>
  <c r="F105" i="36"/>
  <c r="F90" i="36"/>
  <c r="F87" i="36"/>
  <c r="F66" i="36"/>
  <c r="F63" i="36"/>
  <c r="F58" i="36"/>
  <c r="F55" i="36"/>
  <c r="F39" i="36"/>
  <c r="F35" i="36"/>
  <c r="F27" i="36"/>
  <c r="F99" i="36"/>
  <c r="F86" i="36"/>
  <c r="F77" i="36"/>
  <c r="F49" i="36"/>
  <c r="F46" i="36"/>
  <c r="F38" i="36"/>
  <c r="F34" i="36"/>
  <c r="F25" i="36"/>
  <c r="F92" i="36"/>
  <c r="F89" i="36"/>
  <c r="F85" i="36"/>
  <c r="F72" i="36"/>
  <c r="F68" i="36"/>
  <c r="F65" i="36"/>
  <c r="F60" i="36"/>
  <c r="F57" i="36"/>
  <c r="F52" i="36"/>
  <c r="F37" i="36"/>
  <c r="F33" i="36"/>
  <c r="F95" i="36"/>
  <c r="F84" i="36"/>
  <c r="F79" i="36"/>
  <c r="F76" i="36"/>
  <c r="F48" i="36"/>
  <c r="F43" i="36"/>
  <c r="F32" i="36"/>
  <c r="F19" i="36"/>
  <c r="F100" i="36"/>
  <c r="F91" i="36"/>
  <c r="F83" i="36"/>
  <c r="F75" i="36"/>
  <c r="F71" i="36"/>
  <c r="F67" i="36"/>
  <c r="F62" i="36"/>
  <c r="F59" i="36"/>
  <c r="F54" i="36"/>
  <c r="F51" i="36"/>
  <c r="F31" i="36"/>
  <c r="F26" i="36"/>
  <c r="F94" i="36"/>
  <c r="F82" i="36"/>
  <c r="F78" i="36"/>
  <c r="F74" i="36"/>
  <c r="F70" i="36"/>
  <c r="F50" i="36"/>
  <c r="F45" i="36"/>
  <c r="F42" i="36"/>
  <c r="F30" i="36"/>
  <c r="F93" i="36"/>
  <c r="F88" i="36"/>
  <c r="F81" i="36"/>
  <c r="F73" i="36"/>
  <c r="F69" i="36"/>
  <c r="F64" i="36"/>
  <c r="F61" i="36"/>
  <c r="F56" i="36"/>
  <c r="F53" i="36"/>
  <c r="F41" i="36"/>
  <c r="F36" i="36"/>
  <c r="F29" i="36"/>
  <c r="D23" i="36"/>
  <c r="F23" i="36" s="1"/>
  <c r="F21" i="36"/>
  <c r="F101" i="36"/>
  <c r="F96" i="36"/>
  <c r="F80" i="36"/>
  <c r="F47" i="36"/>
  <c r="F44" i="36"/>
  <c r="F40" i="36"/>
  <c r="F28" i="36"/>
  <c r="F20" i="36"/>
  <c r="L12" i="36"/>
  <c r="N26" i="36"/>
  <c r="Z62" i="36"/>
  <c r="N64" i="36"/>
  <c r="N19" i="39"/>
  <c r="Z12" i="22"/>
  <c r="F16" i="22"/>
  <c r="V16" i="22"/>
  <c r="F20" i="22"/>
  <c r="V20" i="22"/>
  <c r="R22" i="22"/>
  <c r="J24" i="22"/>
  <c r="X12" i="23"/>
  <c r="J21" i="23"/>
  <c r="F27" i="23"/>
  <c r="V27" i="23"/>
  <c r="F31" i="23"/>
  <c r="V31" i="23"/>
  <c r="F34" i="23"/>
  <c r="V34" i="23"/>
  <c r="X50" i="24"/>
  <c r="L52" i="24"/>
  <c r="X62" i="24"/>
  <c r="Z12" i="25"/>
  <c r="F16" i="25"/>
  <c r="V16" i="25"/>
  <c r="F20" i="25"/>
  <c r="V20" i="25"/>
  <c r="R22" i="25"/>
  <c r="J24" i="25"/>
  <c r="X12" i="26"/>
  <c r="J21" i="26"/>
  <c r="F27" i="26"/>
  <c r="V27" i="26"/>
  <c r="F31" i="26"/>
  <c r="V31" i="26"/>
  <c r="F34" i="26"/>
  <c r="V34" i="26"/>
  <c r="L12" i="28"/>
  <c r="F15" i="28"/>
  <c r="V15" i="28"/>
  <c r="D18" i="28"/>
  <c r="T18" i="28"/>
  <c r="R21" i="28"/>
  <c r="F25" i="28"/>
  <c r="V25" i="28"/>
  <c r="F29" i="28"/>
  <c r="V29" i="28"/>
  <c r="F33" i="28"/>
  <c r="V33" i="28"/>
  <c r="F36" i="28"/>
  <c r="V36" i="28"/>
  <c r="J16" i="29"/>
  <c r="R18" i="29"/>
  <c r="J20" i="29"/>
  <c r="F22" i="29"/>
  <c r="V22" i="29"/>
  <c r="H12" i="30"/>
  <c r="Z111" i="30"/>
  <c r="N31" i="33"/>
  <c r="Z15" i="36"/>
  <c r="N52" i="36"/>
  <c r="Z68" i="36"/>
  <c r="Z95" i="36"/>
  <c r="N64" i="39"/>
  <c r="R25" i="22"/>
  <c r="J27" i="22"/>
  <c r="R29" i="22"/>
  <c r="J31" i="22"/>
  <c r="R33" i="22"/>
  <c r="J34" i="22"/>
  <c r="R36" i="22"/>
  <c r="J24" i="23"/>
  <c r="P18" i="25"/>
  <c r="R25" i="25"/>
  <c r="J27" i="25"/>
  <c r="R29" i="25"/>
  <c r="J31" i="25"/>
  <c r="R33" i="25"/>
  <c r="J34" i="25"/>
  <c r="R36" i="25"/>
  <c r="Z12" i="26"/>
  <c r="F16" i="26"/>
  <c r="V16" i="26"/>
  <c r="F20" i="26"/>
  <c r="V20" i="26"/>
  <c r="R22" i="26"/>
  <c r="J24" i="26"/>
  <c r="X75" i="27"/>
  <c r="L99" i="27"/>
  <c r="N99" i="27" s="1"/>
  <c r="N12" i="28"/>
  <c r="F18" i="28"/>
  <c r="V18" i="28"/>
  <c r="J22" i="28"/>
  <c r="R24" i="28"/>
  <c r="L12" i="29"/>
  <c r="F15" i="29"/>
  <c r="V15" i="29"/>
  <c r="D18" i="29"/>
  <c r="T18" i="29"/>
  <c r="L20" i="29"/>
  <c r="R21" i="29"/>
  <c r="F25" i="29"/>
  <c r="V25" i="29"/>
  <c r="F29" i="29"/>
  <c r="V29" i="29"/>
  <c r="F33" i="29"/>
  <c r="V33" i="29"/>
  <c r="F36" i="29"/>
  <c r="V36" i="29"/>
  <c r="Z14" i="33"/>
  <c r="R98" i="36"/>
  <c r="R91" i="36"/>
  <c r="R88" i="36"/>
  <c r="R83" i="36"/>
  <c r="R75" i="36"/>
  <c r="R71" i="36"/>
  <c r="R67" i="36"/>
  <c r="R64" i="36"/>
  <c r="R59" i="36"/>
  <c r="R56" i="36"/>
  <c r="R51" i="36"/>
  <c r="R36" i="36"/>
  <c r="R31" i="36"/>
  <c r="P23" i="36"/>
  <c r="R101" i="36"/>
  <c r="R94" i="36"/>
  <c r="R82" i="36"/>
  <c r="R78" i="36"/>
  <c r="R74" i="36"/>
  <c r="R70" i="36"/>
  <c r="R50" i="36"/>
  <c r="R47" i="36"/>
  <c r="R42" i="36"/>
  <c r="R30" i="36"/>
  <c r="R93" i="36"/>
  <c r="R90" i="36"/>
  <c r="R81" i="36"/>
  <c r="R73" i="36"/>
  <c r="R69" i="36"/>
  <c r="R66" i="36"/>
  <c r="R61" i="36"/>
  <c r="R58" i="36"/>
  <c r="R53" i="36"/>
  <c r="R41" i="36"/>
  <c r="R29" i="36"/>
  <c r="R21" i="36"/>
  <c r="R99" i="36"/>
  <c r="R96" i="36"/>
  <c r="R80" i="36"/>
  <c r="R77" i="36"/>
  <c r="R49" i="36"/>
  <c r="R44" i="36"/>
  <c r="R40" i="36"/>
  <c r="R28" i="36"/>
  <c r="R25" i="36"/>
  <c r="R20" i="36"/>
  <c r="R105" i="36"/>
  <c r="R92" i="36"/>
  <c r="R87" i="36"/>
  <c r="R72" i="36"/>
  <c r="R68" i="36"/>
  <c r="R63" i="36"/>
  <c r="R60" i="36"/>
  <c r="R55" i="36"/>
  <c r="R52" i="36"/>
  <c r="R39" i="36"/>
  <c r="R35" i="36"/>
  <c r="R27" i="36"/>
  <c r="R95" i="36"/>
  <c r="R86" i="36"/>
  <c r="R79" i="36"/>
  <c r="R46" i="36"/>
  <c r="R43" i="36"/>
  <c r="R38" i="36"/>
  <c r="R34" i="36"/>
  <c r="R19" i="36"/>
  <c r="R100" i="36"/>
  <c r="R89" i="36"/>
  <c r="R85" i="36"/>
  <c r="R65" i="36"/>
  <c r="R62" i="36"/>
  <c r="R57" i="36"/>
  <c r="R54" i="36"/>
  <c r="R37" i="36"/>
  <c r="R33" i="36"/>
  <c r="R26" i="36"/>
  <c r="R84" i="36"/>
  <c r="R76" i="36"/>
  <c r="R48" i="36"/>
  <c r="R45" i="36"/>
  <c r="R32" i="36"/>
  <c r="R23" i="36"/>
  <c r="Z26" i="36"/>
  <c r="Z62" i="39"/>
  <c r="J16" i="22"/>
  <c r="R18" i="22"/>
  <c r="J20" i="22"/>
  <c r="F22" i="22"/>
  <c r="V22" i="22"/>
  <c r="R15" i="23"/>
  <c r="P18" i="23"/>
  <c r="R25" i="23"/>
  <c r="J27" i="23"/>
  <c r="R29" i="23"/>
  <c r="J31" i="23"/>
  <c r="R33" i="23"/>
  <c r="J34" i="23"/>
  <c r="R36" i="23"/>
  <c r="D12" i="24"/>
  <c r="X14" i="24"/>
  <c r="L18" i="24"/>
  <c r="X22" i="24"/>
  <c r="J16" i="25"/>
  <c r="R18" i="25"/>
  <c r="J20" i="25"/>
  <c r="F22" i="25"/>
  <c r="V22" i="25"/>
  <c r="R15" i="26"/>
  <c r="P18" i="26"/>
  <c r="R25" i="26"/>
  <c r="J27" i="26"/>
  <c r="R29" i="26"/>
  <c r="J31" i="26"/>
  <c r="R33" i="26"/>
  <c r="J34" i="26"/>
  <c r="R36" i="26"/>
  <c r="J15" i="28"/>
  <c r="H18" i="28"/>
  <c r="F21" i="28"/>
  <c r="V21" i="28"/>
  <c r="J25" i="28"/>
  <c r="R27" i="28"/>
  <c r="J29" i="28"/>
  <c r="R31" i="28"/>
  <c r="J33" i="28"/>
  <c r="R34" i="28"/>
  <c r="J36" i="28"/>
  <c r="F18" i="29"/>
  <c r="V18" i="29"/>
  <c r="J22" i="29"/>
  <c r="R24" i="29"/>
  <c r="L13" i="30"/>
  <c r="N13" i="30" s="1"/>
  <c r="X17" i="30"/>
  <c r="L21" i="30"/>
  <c r="N21" i="30" s="1"/>
  <c r="X25" i="30"/>
  <c r="L29" i="30"/>
  <c r="X33" i="30"/>
  <c r="Z33" i="30" s="1"/>
  <c r="L37" i="30"/>
  <c r="N37" i="30" s="1"/>
  <c r="X41" i="30"/>
  <c r="Z41" i="30" s="1"/>
  <c r="R76" i="33"/>
  <c r="R66" i="33"/>
  <c r="R62" i="33"/>
  <c r="R58" i="33"/>
  <c r="R51" i="33"/>
  <c r="R46" i="33"/>
  <c r="R42" i="33"/>
  <c r="R38" i="33"/>
  <c r="R29" i="33"/>
  <c r="R61" i="33"/>
  <c r="R54" i="33"/>
  <c r="R37" i="33"/>
  <c r="P29" i="33"/>
  <c r="R71" i="33"/>
  <c r="R68" i="33"/>
  <c r="R65" i="33"/>
  <c r="R60" i="33"/>
  <c r="R57" i="33"/>
  <c r="R48" i="33"/>
  <c r="R45" i="33"/>
  <c r="R41" i="33"/>
  <c r="R36" i="33"/>
  <c r="X12" i="33"/>
  <c r="Z12" i="33" s="1"/>
  <c r="R35" i="33"/>
  <c r="R27" i="33"/>
  <c r="R67" i="33"/>
  <c r="R59" i="33"/>
  <c r="R50" i="33"/>
  <c r="R47" i="33"/>
  <c r="R34" i="33"/>
  <c r="R31" i="33"/>
  <c r="R26" i="33"/>
  <c r="R72" i="33"/>
  <c r="R53" i="33"/>
  <c r="R33" i="33"/>
  <c r="R64" i="33"/>
  <c r="R56" i="33"/>
  <c r="R52" i="33"/>
  <c r="R49" i="33"/>
  <c r="R44" i="33"/>
  <c r="R40" i="33"/>
  <c r="R25" i="33"/>
  <c r="R70" i="33"/>
  <c r="R63" i="33"/>
  <c r="R55" i="33"/>
  <c r="R43" i="33"/>
  <c r="R39" i="33"/>
  <c r="R32" i="33"/>
  <c r="Z31" i="33"/>
  <c r="Z14" i="36"/>
  <c r="X44" i="21"/>
  <c r="Z44" i="21" s="1"/>
  <c r="L46" i="21"/>
  <c r="N46" i="21" s="1"/>
  <c r="L12" i="22"/>
  <c r="F15" i="22"/>
  <c r="V15" i="22"/>
  <c r="D18" i="22"/>
  <c r="T18" i="22"/>
  <c r="R21" i="22"/>
  <c r="F25" i="22"/>
  <c r="V25" i="22"/>
  <c r="F29" i="22"/>
  <c r="V29" i="22"/>
  <c r="F33" i="22"/>
  <c r="V33" i="22"/>
  <c r="F36" i="22"/>
  <c r="V36" i="22"/>
  <c r="J16" i="23"/>
  <c r="R18" i="23"/>
  <c r="J20" i="23"/>
  <c r="F22" i="23"/>
  <c r="V22" i="23"/>
  <c r="H12" i="24"/>
  <c r="L12" i="25"/>
  <c r="F15" i="25"/>
  <c r="V15" i="25"/>
  <c r="D18" i="25"/>
  <c r="T18" i="25"/>
  <c r="R21" i="25"/>
  <c r="F25" i="25"/>
  <c r="V25" i="25"/>
  <c r="F29" i="25"/>
  <c r="V29" i="25"/>
  <c r="F33" i="25"/>
  <c r="V33" i="25"/>
  <c r="F36" i="25"/>
  <c r="V36" i="25"/>
  <c r="J16" i="26"/>
  <c r="R18" i="26"/>
  <c r="J20" i="26"/>
  <c r="F22" i="26"/>
  <c r="V22" i="26"/>
  <c r="X81" i="27"/>
  <c r="Z81" i="27" s="1"/>
  <c r="L83" i="27"/>
  <c r="R16" i="28"/>
  <c r="J18" i="28"/>
  <c r="R20" i="28"/>
  <c r="F24" i="28"/>
  <c r="V24" i="28"/>
  <c r="L25" i="28"/>
  <c r="J15" i="29"/>
  <c r="H18" i="29"/>
  <c r="F21" i="29"/>
  <c r="V21" i="29"/>
  <c r="J25" i="29"/>
  <c r="R27" i="29"/>
  <c r="J29" i="29"/>
  <c r="R31" i="29"/>
  <c r="J33" i="29"/>
  <c r="R34" i="29"/>
  <c r="J36" i="29"/>
  <c r="P12" i="30"/>
  <c r="Z17" i="30"/>
  <c r="L111" i="30"/>
  <c r="N111" i="30" s="1"/>
  <c r="F71" i="33"/>
  <c r="F65" i="33"/>
  <c r="F57" i="33"/>
  <c r="F50" i="33"/>
  <c r="F45" i="33"/>
  <c r="F41" i="33"/>
  <c r="F34" i="33"/>
  <c r="F26" i="33"/>
  <c r="F53" i="33"/>
  <c r="F33" i="33"/>
  <c r="F67" i="33"/>
  <c r="F64" i="33"/>
  <c r="F59" i="33"/>
  <c r="F56" i="33"/>
  <c r="F52" i="33"/>
  <c r="F47" i="33"/>
  <c r="F44" i="33"/>
  <c r="F40" i="33"/>
  <c r="F31" i="33"/>
  <c r="F72" i="33"/>
  <c r="F63" i="33"/>
  <c r="F55" i="33"/>
  <c r="F43" i="33"/>
  <c r="F39" i="33"/>
  <c r="F76" i="33"/>
  <c r="F66" i="33"/>
  <c r="F62" i="33"/>
  <c r="F58" i="33"/>
  <c r="F49" i="33"/>
  <c r="F46" i="33"/>
  <c r="F42" i="33"/>
  <c r="F38" i="33"/>
  <c r="F25" i="33"/>
  <c r="F61" i="33"/>
  <c r="F37" i="33"/>
  <c r="F32" i="33"/>
  <c r="F68" i="33"/>
  <c r="F60" i="33"/>
  <c r="F51" i="33"/>
  <c r="F48" i="33"/>
  <c r="F36" i="33"/>
  <c r="F29" i="33"/>
  <c r="L12" i="33"/>
  <c r="N12" i="33" s="1"/>
  <c r="F54" i="33"/>
  <c r="F35" i="33"/>
  <c r="D29" i="33"/>
  <c r="F27" i="33"/>
  <c r="Z71" i="33"/>
  <c r="J92" i="36"/>
  <c r="J86" i="36"/>
  <c r="J72" i="36"/>
  <c r="J68" i="36"/>
  <c r="J60" i="36"/>
  <c r="J52" i="36"/>
  <c r="J46" i="36"/>
  <c r="J38" i="36"/>
  <c r="J34" i="36"/>
  <c r="J95" i="36"/>
  <c r="J89" i="36"/>
  <c r="J85" i="36"/>
  <c r="J79" i="36"/>
  <c r="J65" i="36"/>
  <c r="J57" i="36"/>
  <c r="J43" i="36"/>
  <c r="J37" i="36"/>
  <c r="J33" i="36"/>
  <c r="J19" i="36"/>
  <c r="J100" i="36"/>
  <c r="J84" i="36"/>
  <c r="J76" i="36"/>
  <c r="J62" i="36"/>
  <c r="J54" i="36"/>
  <c r="J48" i="36"/>
  <c r="J32" i="36"/>
  <c r="J26" i="36"/>
  <c r="J91" i="36"/>
  <c r="J83" i="36"/>
  <c r="J75" i="36"/>
  <c r="J71" i="36"/>
  <c r="J67" i="36"/>
  <c r="J59" i="36"/>
  <c r="J51" i="36"/>
  <c r="J45" i="36"/>
  <c r="J31" i="36"/>
  <c r="J23" i="36"/>
  <c r="J98" i="36"/>
  <c r="J94" i="36"/>
  <c r="J88" i="36"/>
  <c r="J82" i="36"/>
  <c r="J78" i="36"/>
  <c r="J74" i="36"/>
  <c r="J70" i="36"/>
  <c r="J64" i="36"/>
  <c r="J56" i="36"/>
  <c r="J50" i="36"/>
  <c r="J42" i="36"/>
  <c r="J36" i="36"/>
  <c r="J30" i="36"/>
  <c r="H23" i="36"/>
  <c r="J101" i="36"/>
  <c r="J93" i="36"/>
  <c r="J81" i="36"/>
  <c r="J73" i="36"/>
  <c r="J69" i="36"/>
  <c r="J61" i="36"/>
  <c r="J53" i="36"/>
  <c r="J47" i="36"/>
  <c r="J41" i="36"/>
  <c r="J29" i="36"/>
  <c r="J21" i="36"/>
  <c r="J96" i="36"/>
  <c r="J90" i="36"/>
  <c r="J80" i="36"/>
  <c r="J66" i="36"/>
  <c r="J58" i="36"/>
  <c r="J44" i="36"/>
  <c r="J40" i="36"/>
  <c r="J28" i="36"/>
  <c r="J20" i="36"/>
  <c r="N12" i="36"/>
  <c r="J105" i="36"/>
  <c r="J99" i="36"/>
  <c r="J87" i="36"/>
  <c r="J77" i="36"/>
  <c r="J63" i="36"/>
  <c r="J55" i="36"/>
  <c r="J49" i="36"/>
  <c r="J39" i="36"/>
  <c r="J35" i="36"/>
  <c r="J27" i="36"/>
  <c r="J25" i="36"/>
  <c r="Z58" i="36"/>
  <c r="Z31" i="39"/>
  <c r="X19" i="21"/>
  <c r="X73" i="21"/>
  <c r="Z73" i="21" s="1"/>
  <c r="N12" i="22"/>
  <c r="F18" i="22"/>
  <c r="V18" i="22"/>
  <c r="J22" i="22"/>
  <c r="R24" i="22"/>
  <c r="L12" i="23"/>
  <c r="F15" i="23"/>
  <c r="V15" i="23"/>
  <c r="D18" i="23"/>
  <c r="T18" i="23"/>
  <c r="R21" i="23"/>
  <c r="F25" i="23"/>
  <c r="V25" i="23"/>
  <c r="F29" i="23"/>
  <c r="V29" i="23"/>
  <c r="F33" i="23"/>
  <c r="V33" i="23"/>
  <c r="F36" i="23"/>
  <c r="V36" i="23"/>
  <c r="X16" i="24"/>
  <c r="Z16" i="24" s="1"/>
  <c r="L20" i="24"/>
  <c r="N20" i="24" s="1"/>
  <c r="X24" i="24"/>
  <c r="X74" i="24"/>
  <c r="Z74" i="24" s="1"/>
  <c r="N12" i="25"/>
  <c r="X15" i="25"/>
  <c r="F18" i="25"/>
  <c r="V18" i="25"/>
  <c r="J22" i="25"/>
  <c r="R24" i="25"/>
  <c r="L12" i="26"/>
  <c r="F15" i="26"/>
  <c r="V15" i="26"/>
  <c r="L16" i="26"/>
  <c r="D18" i="26"/>
  <c r="T18" i="26"/>
  <c r="L20" i="26"/>
  <c r="R21" i="26"/>
  <c r="X22" i="26"/>
  <c r="F25" i="26"/>
  <c r="V25" i="26"/>
  <c r="F29" i="26"/>
  <c r="V29" i="26"/>
  <c r="F33" i="26"/>
  <c r="V33" i="26"/>
  <c r="F36" i="26"/>
  <c r="V36" i="26"/>
  <c r="J21" i="28"/>
  <c r="F27" i="28"/>
  <c r="V27" i="28"/>
  <c r="F31" i="28"/>
  <c r="V31" i="28"/>
  <c r="F34" i="28"/>
  <c r="V34" i="28"/>
  <c r="R16" i="29"/>
  <c r="J18" i="29"/>
  <c r="R20" i="29"/>
  <c r="F24" i="29"/>
  <c r="V24" i="29"/>
  <c r="X51" i="30"/>
  <c r="Z51" i="30" s="1"/>
  <c r="N131" i="30"/>
  <c r="N133" i="30"/>
  <c r="J15" i="22"/>
  <c r="H18" i="22"/>
  <c r="J25" i="22"/>
  <c r="R27" i="22"/>
  <c r="J29" i="22"/>
  <c r="R31" i="22"/>
  <c r="J33" i="22"/>
  <c r="N12" i="23"/>
  <c r="J15" i="25"/>
  <c r="H18" i="25"/>
  <c r="J25" i="25"/>
  <c r="R27" i="25"/>
  <c r="J29" i="25"/>
  <c r="R31" i="25"/>
  <c r="J33" i="25"/>
  <c r="N12" i="26"/>
  <c r="Z12" i="28"/>
  <c r="F16" i="28"/>
  <c r="V16" i="28"/>
  <c r="F27" i="29"/>
  <c r="V27" i="29"/>
  <c r="F31" i="29"/>
  <c r="V31" i="29"/>
  <c r="Z16" i="36"/>
  <c r="N19" i="36"/>
  <c r="Z60" i="36"/>
  <c r="N62" i="36"/>
  <c r="X98" i="36"/>
  <c r="R83" i="39"/>
  <c r="R75" i="39"/>
  <c r="R71" i="39"/>
  <c r="R68" i="39"/>
  <c r="R63" i="39"/>
  <c r="R60" i="39"/>
  <c r="R55" i="39"/>
  <c r="R35" i="39"/>
  <c r="R27" i="39"/>
  <c r="R97" i="39"/>
  <c r="R94" i="39"/>
  <c r="R91" i="39"/>
  <c r="R82" i="39"/>
  <c r="R79" i="39"/>
  <c r="R54" i="39"/>
  <c r="R51" i="39"/>
  <c r="R46" i="39"/>
  <c r="R34" i="39"/>
  <c r="R31" i="39"/>
  <c r="R26" i="39"/>
  <c r="R103" i="39"/>
  <c r="R74" i="39"/>
  <c r="R70" i="39"/>
  <c r="R65" i="39"/>
  <c r="R62" i="39"/>
  <c r="R57" i="39"/>
  <c r="R45" i="39"/>
  <c r="R33" i="39"/>
  <c r="R93" i="39"/>
  <c r="R88" i="39"/>
  <c r="R81" i="39"/>
  <c r="R53" i="39"/>
  <c r="R48" i="39"/>
  <c r="R44" i="39"/>
  <c r="R40" i="39"/>
  <c r="R25" i="39"/>
  <c r="R98" i="39"/>
  <c r="R87" i="39"/>
  <c r="R67" i="39"/>
  <c r="R64" i="39"/>
  <c r="R59" i="39"/>
  <c r="R56" i="39"/>
  <c r="R43" i="39"/>
  <c r="R39" i="39"/>
  <c r="R32" i="39"/>
  <c r="R90" i="39"/>
  <c r="R86" i="39"/>
  <c r="R78" i="39"/>
  <c r="R50" i="39"/>
  <c r="R47" i="39"/>
  <c r="R42" i="39"/>
  <c r="R38" i="39"/>
  <c r="R29" i="39"/>
  <c r="R96" i="39"/>
  <c r="R85" i="39"/>
  <c r="R77" i="39"/>
  <c r="R73" i="39"/>
  <c r="R69" i="39"/>
  <c r="R66" i="39"/>
  <c r="R61" i="39"/>
  <c r="R58" i="39"/>
  <c r="R37" i="39"/>
  <c r="P29" i="39"/>
  <c r="R99" i="39"/>
  <c r="R92" i="39"/>
  <c r="R89" i="39"/>
  <c r="R84" i="39"/>
  <c r="R80" i="39"/>
  <c r="R76" i="39"/>
  <c r="R72" i="39"/>
  <c r="R52" i="39"/>
  <c r="R49" i="39"/>
  <c r="R41" i="39"/>
  <c r="R36" i="39"/>
  <c r="X12" i="39"/>
  <c r="N16" i="39"/>
  <c r="N49" i="39"/>
  <c r="Z74" i="39"/>
  <c r="Z81" i="39"/>
  <c r="L116" i="30"/>
  <c r="N116" i="30" s="1"/>
  <c r="L12" i="31"/>
  <c r="F15" i="31"/>
  <c r="V15" i="31"/>
  <c r="D18" i="31"/>
  <c r="T18" i="31"/>
  <c r="R21" i="31"/>
  <c r="F25" i="31"/>
  <c r="V25" i="31"/>
  <c r="F29" i="31"/>
  <c r="V29" i="31"/>
  <c r="F33" i="31"/>
  <c r="V33" i="31"/>
  <c r="F36" i="31"/>
  <c r="V36" i="31"/>
  <c r="J16" i="32"/>
  <c r="J20" i="32"/>
  <c r="F22" i="32"/>
  <c r="V22" i="32"/>
  <c r="T29" i="33"/>
  <c r="V38" i="33"/>
  <c r="V42" i="33"/>
  <c r="V46" i="33"/>
  <c r="V54" i="33"/>
  <c r="V58" i="33"/>
  <c r="V62" i="33"/>
  <c r="X65" i="33"/>
  <c r="Z65" i="33" s="1"/>
  <c r="V66" i="33"/>
  <c r="X71" i="33"/>
  <c r="N72" i="33"/>
  <c r="V76" i="33"/>
  <c r="N12" i="34"/>
  <c r="F18" i="34"/>
  <c r="V18" i="34"/>
  <c r="J22" i="34"/>
  <c r="R24" i="34"/>
  <c r="L12" i="35"/>
  <c r="F15" i="35"/>
  <c r="V15" i="35"/>
  <c r="D18" i="35"/>
  <c r="T18" i="35"/>
  <c r="R21" i="35"/>
  <c r="F25" i="35"/>
  <c r="V25" i="35"/>
  <c r="F29" i="35"/>
  <c r="V29" i="35"/>
  <c r="F33" i="35"/>
  <c r="V33" i="35"/>
  <c r="F36" i="35"/>
  <c r="V36" i="35"/>
  <c r="D98" i="36"/>
  <c r="L98" i="36" s="1"/>
  <c r="T98" i="36"/>
  <c r="Z12" i="37"/>
  <c r="F16" i="37"/>
  <c r="V16" i="37"/>
  <c r="F20" i="37"/>
  <c r="V20" i="37"/>
  <c r="R22" i="37"/>
  <c r="J24" i="37"/>
  <c r="X12" i="38"/>
  <c r="J21" i="38"/>
  <c r="F27" i="38"/>
  <c r="V27" i="38"/>
  <c r="F31" i="38"/>
  <c r="V31" i="38"/>
  <c r="F34" i="38"/>
  <c r="V34" i="38"/>
  <c r="V27" i="39"/>
  <c r="V31" i="39"/>
  <c r="V35" i="39"/>
  <c r="V51" i="39"/>
  <c r="V55" i="39"/>
  <c r="V63" i="39"/>
  <c r="V71" i="39"/>
  <c r="V75" i="39"/>
  <c r="V79" i="39"/>
  <c r="V83" i="39"/>
  <c r="V91" i="39"/>
  <c r="V97" i="39"/>
  <c r="R16" i="40"/>
  <c r="J18" i="40"/>
  <c r="R20" i="40"/>
  <c r="F24" i="40"/>
  <c r="V24" i="40"/>
  <c r="R34" i="41"/>
  <c r="R31" i="41"/>
  <c r="R36" i="41"/>
  <c r="R33" i="41"/>
  <c r="R29" i="41"/>
  <c r="N13" i="41"/>
  <c r="J15" i="41"/>
  <c r="H18" i="41"/>
  <c r="F21" i="41"/>
  <c r="J25" i="41"/>
  <c r="L17" i="42"/>
  <c r="N17" i="42" s="1"/>
  <c r="Z24" i="42"/>
  <c r="Z56" i="42"/>
  <c r="Z64" i="42"/>
  <c r="Z71" i="42"/>
  <c r="N79" i="42"/>
  <c r="Z83" i="42"/>
  <c r="Z24" i="45"/>
  <c r="Z43" i="45"/>
  <c r="X131" i="30"/>
  <c r="Z131" i="30" s="1"/>
  <c r="L133" i="30"/>
  <c r="X137" i="30"/>
  <c r="Z137" i="30" s="1"/>
  <c r="N138" i="30"/>
  <c r="N12" i="31"/>
  <c r="F18" i="31"/>
  <c r="V18" i="31"/>
  <c r="J22" i="31"/>
  <c r="R24" i="31"/>
  <c r="L12" i="32"/>
  <c r="F15" i="32"/>
  <c r="V15" i="32"/>
  <c r="D18" i="32"/>
  <c r="T18" i="32"/>
  <c r="R21" i="32"/>
  <c r="F25" i="32"/>
  <c r="V25" i="32"/>
  <c r="F29" i="32"/>
  <c r="V29" i="32"/>
  <c r="F33" i="32"/>
  <c r="V33" i="32"/>
  <c r="F36" i="32"/>
  <c r="V36" i="32"/>
  <c r="V29" i="33"/>
  <c r="V39" i="33"/>
  <c r="V43" i="33"/>
  <c r="V51" i="33"/>
  <c r="V55" i="33"/>
  <c r="V63" i="33"/>
  <c r="D70" i="33"/>
  <c r="L70" i="33" s="1"/>
  <c r="N70" i="33" s="1"/>
  <c r="T70" i="33"/>
  <c r="J15" i="34"/>
  <c r="H18" i="34"/>
  <c r="F21" i="34"/>
  <c r="V21" i="34"/>
  <c r="J25" i="34"/>
  <c r="R27" i="34"/>
  <c r="J29" i="34"/>
  <c r="R31" i="34"/>
  <c r="J33" i="34"/>
  <c r="R34" i="34"/>
  <c r="J36" i="34"/>
  <c r="N12" i="35"/>
  <c r="F18" i="35"/>
  <c r="V18" i="35"/>
  <c r="J22" i="35"/>
  <c r="R24" i="35"/>
  <c r="L13" i="36"/>
  <c r="N13" i="36" s="1"/>
  <c r="L77" i="36"/>
  <c r="L99" i="36"/>
  <c r="N99" i="36" s="1"/>
  <c r="X101" i="36"/>
  <c r="Z101" i="36" s="1"/>
  <c r="R15" i="37"/>
  <c r="X16" i="37"/>
  <c r="P18" i="37"/>
  <c r="X20" i="37"/>
  <c r="L24" i="37"/>
  <c r="R25" i="37"/>
  <c r="J27" i="37"/>
  <c r="R29" i="37"/>
  <c r="J31" i="37"/>
  <c r="R33" i="37"/>
  <c r="J34" i="37"/>
  <c r="R36" i="37"/>
  <c r="Z12" i="38"/>
  <c r="F16" i="38"/>
  <c r="V16" i="38"/>
  <c r="F20" i="38"/>
  <c r="V20" i="38"/>
  <c r="L21" i="38"/>
  <c r="J24" i="38"/>
  <c r="Z12" i="39"/>
  <c r="X13" i="39"/>
  <c r="V36" i="39"/>
  <c r="V52" i="39"/>
  <c r="V60" i="39"/>
  <c r="V68" i="39"/>
  <c r="V72" i="39"/>
  <c r="V76" i="39"/>
  <c r="V80" i="39"/>
  <c r="V84" i="39"/>
  <c r="V92" i="39"/>
  <c r="J21" i="40"/>
  <c r="F27" i="40"/>
  <c r="V27" i="40"/>
  <c r="F31" i="40"/>
  <c r="V31" i="40"/>
  <c r="F34" i="40"/>
  <c r="V34" i="40"/>
  <c r="V36" i="41"/>
  <c r="V33" i="41"/>
  <c r="V29" i="41"/>
  <c r="V25" i="41"/>
  <c r="V34" i="41"/>
  <c r="V31" i="41"/>
  <c r="V27" i="41"/>
  <c r="L15" i="41"/>
  <c r="J18" i="41"/>
  <c r="F24" i="41"/>
  <c r="V24" i="41"/>
  <c r="J15" i="31"/>
  <c r="H18" i="31"/>
  <c r="F21" i="31"/>
  <c r="V21" i="31"/>
  <c r="J25" i="31"/>
  <c r="R27" i="31"/>
  <c r="J29" i="31"/>
  <c r="R31" i="31"/>
  <c r="J33" i="31"/>
  <c r="R34" i="31"/>
  <c r="J36" i="31"/>
  <c r="N12" i="32"/>
  <c r="F18" i="32"/>
  <c r="V18" i="32"/>
  <c r="J22" i="32"/>
  <c r="R24" i="32"/>
  <c r="V32" i="33"/>
  <c r="V40" i="33"/>
  <c r="V44" i="33"/>
  <c r="V52" i="33"/>
  <c r="V56" i="33"/>
  <c r="V64" i="33"/>
  <c r="V70" i="33"/>
  <c r="R16" i="34"/>
  <c r="J18" i="34"/>
  <c r="R20" i="34"/>
  <c r="F24" i="34"/>
  <c r="V24" i="34"/>
  <c r="J15" i="35"/>
  <c r="H18" i="35"/>
  <c r="F21" i="35"/>
  <c r="V21" i="35"/>
  <c r="J25" i="35"/>
  <c r="R27" i="35"/>
  <c r="J29" i="35"/>
  <c r="R31" i="35"/>
  <c r="J33" i="35"/>
  <c r="R34" i="35"/>
  <c r="J36" i="35"/>
  <c r="X64" i="36"/>
  <c r="Z64" i="36" s="1"/>
  <c r="H98" i="36"/>
  <c r="J16" i="37"/>
  <c r="R18" i="37"/>
  <c r="J20" i="37"/>
  <c r="F22" i="37"/>
  <c r="V22" i="37"/>
  <c r="P18" i="38"/>
  <c r="R25" i="38"/>
  <c r="J27" i="38"/>
  <c r="R29" i="38"/>
  <c r="J31" i="38"/>
  <c r="R33" i="38"/>
  <c r="J34" i="38"/>
  <c r="R36" i="38"/>
  <c r="X14" i="39"/>
  <c r="Z14" i="39" s="1"/>
  <c r="L18" i="39"/>
  <c r="X22" i="39"/>
  <c r="Z22" i="39" s="1"/>
  <c r="V37" i="39"/>
  <c r="V41" i="39"/>
  <c r="V49" i="39"/>
  <c r="V61" i="39"/>
  <c r="V69" i="39"/>
  <c r="V73" i="39"/>
  <c r="V77" i="39"/>
  <c r="V85" i="39"/>
  <c r="V89" i="39"/>
  <c r="V99" i="39"/>
  <c r="Z12" i="40"/>
  <c r="F16" i="40"/>
  <c r="V16" i="40"/>
  <c r="F20" i="40"/>
  <c r="V20" i="40"/>
  <c r="R22" i="40"/>
  <c r="J24" i="40"/>
  <c r="X12" i="41"/>
  <c r="J21" i="41"/>
  <c r="J27" i="41"/>
  <c r="P12" i="42"/>
  <c r="X13" i="42"/>
  <c r="Z13" i="42" s="1"/>
  <c r="R16" i="31"/>
  <c r="J18" i="31"/>
  <c r="R20" i="31"/>
  <c r="F24" i="31"/>
  <c r="V24" i="31"/>
  <c r="J15" i="32"/>
  <c r="H18" i="32"/>
  <c r="F21" i="32"/>
  <c r="V21" i="32"/>
  <c r="J25" i="32"/>
  <c r="R27" i="32"/>
  <c r="J29" i="32"/>
  <c r="R31" i="32"/>
  <c r="J33" i="32"/>
  <c r="R34" i="32"/>
  <c r="J36" i="32"/>
  <c r="V25" i="33"/>
  <c r="V33" i="33"/>
  <c r="V49" i="33"/>
  <c r="V53" i="33"/>
  <c r="J21" i="34"/>
  <c r="F27" i="34"/>
  <c r="V27" i="34"/>
  <c r="F31" i="34"/>
  <c r="V31" i="34"/>
  <c r="F34" i="34"/>
  <c r="V34" i="34"/>
  <c r="J18" i="35"/>
  <c r="F24" i="35"/>
  <c r="V24" i="35"/>
  <c r="T12" i="36"/>
  <c r="L12" i="37"/>
  <c r="F15" i="37"/>
  <c r="V15" i="37"/>
  <c r="D18" i="37"/>
  <c r="T18" i="37"/>
  <c r="R21" i="37"/>
  <c r="F25" i="37"/>
  <c r="V25" i="37"/>
  <c r="F29" i="37"/>
  <c r="V29" i="37"/>
  <c r="F33" i="37"/>
  <c r="V33" i="37"/>
  <c r="F36" i="37"/>
  <c r="V36" i="37"/>
  <c r="J16" i="38"/>
  <c r="R18" i="38"/>
  <c r="J20" i="38"/>
  <c r="F22" i="38"/>
  <c r="V22" i="38"/>
  <c r="H12" i="39"/>
  <c r="T29" i="39"/>
  <c r="V38" i="39"/>
  <c r="V42" i="39"/>
  <c r="V50" i="39"/>
  <c r="V58" i="39"/>
  <c r="V66" i="39"/>
  <c r="V78" i="39"/>
  <c r="L79" i="39"/>
  <c r="V86" i="39"/>
  <c r="V90" i="39"/>
  <c r="V96" i="39"/>
  <c r="R15" i="40"/>
  <c r="X16" i="40"/>
  <c r="P18" i="40"/>
  <c r="R25" i="40"/>
  <c r="J27" i="40"/>
  <c r="R29" i="40"/>
  <c r="J31" i="40"/>
  <c r="R33" i="40"/>
  <c r="J34" i="40"/>
  <c r="R36" i="40"/>
  <c r="Z12" i="41"/>
  <c r="F16" i="41"/>
  <c r="V16" i="41"/>
  <c r="V20" i="41"/>
  <c r="R22" i="41"/>
  <c r="Z23" i="42"/>
  <c r="F78" i="45"/>
  <c r="F75" i="45"/>
  <c r="F71" i="45"/>
  <c r="F81" i="45"/>
  <c r="F68" i="45"/>
  <c r="F64" i="45"/>
  <c r="F60" i="45"/>
  <c r="F55" i="45"/>
  <c r="F52" i="45"/>
  <c r="F47" i="45"/>
  <c r="F44" i="45"/>
  <c r="F85" i="45"/>
  <c r="F79" i="45"/>
  <c r="F74" i="45"/>
  <c r="F45" i="45"/>
  <c r="F40" i="45"/>
  <c r="F39" i="45"/>
  <c r="F26" i="45"/>
  <c r="F18" i="45"/>
  <c r="F77" i="45"/>
  <c r="F76" i="45"/>
  <c r="F73" i="45"/>
  <c r="F53" i="45"/>
  <c r="F38" i="45"/>
  <c r="F37" i="45"/>
  <c r="F33" i="45"/>
  <c r="F25" i="45"/>
  <c r="F51" i="45"/>
  <c r="F50" i="45"/>
  <c r="F48" i="45"/>
  <c r="F36" i="45"/>
  <c r="F32" i="45"/>
  <c r="F23" i="45"/>
  <c r="F49" i="45"/>
  <c r="F43" i="45"/>
  <c r="F35" i="45"/>
  <c r="F31" i="45"/>
  <c r="F70" i="45"/>
  <c r="F69" i="45"/>
  <c r="F67" i="45"/>
  <c r="F66" i="45"/>
  <c r="F65" i="45"/>
  <c r="F63" i="45"/>
  <c r="F62" i="45"/>
  <c r="F61" i="45"/>
  <c r="F30" i="45"/>
  <c r="F17" i="45"/>
  <c r="F46" i="45"/>
  <c r="F42" i="45"/>
  <c r="F29" i="45"/>
  <c r="F24" i="45"/>
  <c r="F59" i="45"/>
  <c r="F58" i="45"/>
  <c r="F56" i="45"/>
  <c r="F28" i="45"/>
  <c r="F72" i="45"/>
  <c r="F57" i="45"/>
  <c r="F54" i="45"/>
  <c r="F41" i="45"/>
  <c r="F34" i="45"/>
  <c r="F27" i="45"/>
  <c r="D21" i="45"/>
  <c r="F19" i="45"/>
  <c r="N14" i="45"/>
  <c r="Z23" i="45"/>
  <c r="J21" i="31"/>
  <c r="F27" i="31"/>
  <c r="V27" i="31"/>
  <c r="F31" i="31"/>
  <c r="V31" i="31"/>
  <c r="F34" i="31"/>
  <c r="V34" i="31"/>
  <c r="J18" i="32"/>
  <c r="F24" i="32"/>
  <c r="V24" i="32"/>
  <c r="V26" i="33"/>
  <c r="V34" i="33"/>
  <c r="V50" i="33"/>
  <c r="V72" i="33"/>
  <c r="Z12" i="34"/>
  <c r="F16" i="34"/>
  <c r="V16" i="34"/>
  <c r="F20" i="34"/>
  <c r="V20" i="34"/>
  <c r="R22" i="34"/>
  <c r="J24" i="34"/>
  <c r="X12" i="35"/>
  <c r="J21" i="35"/>
  <c r="F27" i="35"/>
  <c r="V27" i="35"/>
  <c r="F31" i="35"/>
  <c r="V31" i="35"/>
  <c r="F34" i="35"/>
  <c r="V34" i="35"/>
  <c r="X54" i="36"/>
  <c r="X100" i="36"/>
  <c r="Z100" i="36" s="1"/>
  <c r="N12" i="37"/>
  <c r="F18" i="37"/>
  <c r="V18" i="37"/>
  <c r="J22" i="37"/>
  <c r="R24" i="37"/>
  <c r="L12" i="38"/>
  <c r="F15" i="38"/>
  <c r="V15" i="38"/>
  <c r="D18" i="38"/>
  <c r="T18" i="38"/>
  <c r="R21" i="38"/>
  <c r="F25" i="38"/>
  <c r="V25" i="38"/>
  <c r="F29" i="38"/>
  <c r="V29" i="38"/>
  <c r="F33" i="38"/>
  <c r="V33" i="38"/>
  <c r="F36" i="38"/>
  <c r="V36" i="38"/>
  <c r="V29" i="39"/>
  <c r="V39" i="39"/>
  <c r="V43" i="39"/>
  <c r="V47" i="39"/>
  <c r="V59" i="39"/>
  <c r="V67" i="39"/>
  <c r="V87" i="39"/>
  <c r="J16" i="40"/>
  <c r="R18" i="40"/>
  <c r="J20" i="40"/>
  <c r="F22" i="40"/>
  <c r="V22" i="40"/>
  <c r="L34" i="40"/>
  <c r="F36" i="41"/>
  <c r="F33" i="41"/>
  <c r="F29" i="41"/>
  <c r="F34" i="41"/>
  <c r="F31" i="41"/>
  <c r="F27" i="41"/>
  <c r="X16" i="41"/>
  <c r="P18" i="41"/>
  <c r="X20" i="41"/>
  <c r="L24" i="41"/>
  <c r="R25" i="41"/>
  <c r="N15" i="42"/>
  <c r="Z33" i="42"/>
  <c r="N41" i="42"/>
  <c r="N50" i="42"/>
  <c r="N54" i="42"/>
  <c r="F16" i="31"/>
  <c r="V16" i="31"/>
  <c r="F20" i="31"/>
  <c r="V20" i="31"/>
  <c r="R22" i="31"/>
  <c r="J24" i="31"/>
  <c r="X12" i="32"/>
  <c r="J21" i="32"/>
  <c r="F27" i="32"/>
  <c r="V27" i="32"/>
  <c r="F31" i="32"/>
  <c r="V31" i="32"/>
  <c r="V34" i="32"/>
  <c r="V27" i="33"/>
  <c r="V31" i="33"/>
  <c r="V35" i="33"/>
  <c r="V47" i="33"/>
  <c r="V59" i="33"/>
  <c r="V67" i="33"/>
  <c r="R25" i="34"/>
  <c r="J27" i="34"/>
  <c r="R29" i="34"/>
  <c r="J31" i="34"/>
  <c r="R33" i="34"/>
  <c r="J34" i="34"/>
  <c r="R36" i="34"/>
  <c r="V20" i="35"/>
  <c r="J24" i="35"/>
  <c r="J15" i="37"/>
  <c r="H18" i="37"/>
  <c r="F21" i="37"/>
  <c r="V21" i="37"/>
  <c r="J25" i="37"/>
  <c r="R27" i="37"/>
  <c r="J29" i="37"/>
  <c r="R31" i="37"/>
  <c r="J33" i="37"/>
  <c r="R34" i="37"/>
  <c r="J36" i="37"/>
  <c r="F18" i="38"/>
  <c r="V18" i="38"/>
  <c r="J22" i="38"/>
  <c r="R24" i="38"/>
  <c r="V32" i="39"/>
  <c r="V40" i="39"/>
  <c r="L41" i="39"/>
  <c r="N41" i="39" s="1"/>
  <c r="V44" i="39"/>
  <c r="X47" i="39"/>
  <c r="V48" i="39"/>
  <c r="L49" i="39"/>
  <c r="V56" i="39"/>
  <c r="V64" i="39"/>
  <c r="V88" i="39"/>
  <c r="L89" i="39"/>
  <c r="N89" i="39" s="1"/>
  <c r="V98" i="39"/>
  <c r="L12" i="40"/>
  <c r="F15" i="40"/>
  <c r="V15" i="40"/>
  <c r="D18" i="40"/>
  <c r="T18" i="40"/>
  <c r="R21" i="40"/>
  <c r="F25" i="40"/>
  <c r="V25" i="40"/>
  <c r="F29" i="40"/>
  <c r="V29" i="40"/>
  <c r="F33" i="40"/>
  <c r="V33" i="40"/>
  <c r="F36" i="40"/>
  <c r="V36" i="40"/>
  <c r="J36" i="41"/>
  <c r="J33" i="41"/>
  <c r="J29" i="41"/>
  <c r="J34" i="41"/>
  <c r="J31" i="41"/>
  <c r="J16" i="41"/>
  <c r="J20" i="41"/>
  <c r="F22" i="41"/>
  <c r="V22" i="41"/>
  <c r="R27" i="41"/>
  <c r="V77" i="42"/>
  <c r="V57" i="42"/>
  <c r="V49" i="42"/>
  <c r="V45" i="42"/>
  <c r="V37" i="42"/>
  <c r="V25" i="42"/>
  <c r="V17" i="42"/>
  <c r="V80" i="42"/>
  <c r="V76" i="42"/>
  <c r="V68" i="42"/>
  <c r="V56" i="42"/>
  <c r="V48" i="42"/>
  <c r="V40" i="42"/>
  <c r="V36" i="42"/>
  <c r="V32" i="42"/>
  <c r="V24" i="42"/>
  <c r="V89" i="42"/>
  <c r="V79" i="42"/>
  <c r="V75" i="42"/>
  <c r="V67" i="42"/>
  <c r="V63" i="42"/>
  <c r="V59" i="42"/>
  <c r="V51" i="42"/>
  <c r="V39" i="42"/>
  <c r="V35" i="42"/>
  <c r="V31" i="42"/>
  <c r="V82" i="42"/>
  <c r="V74" i="42"/>
  <c r="V70" i="42"/>
  <c r="V66" i="42"/>
  <c r="V62" i="42"/>
  <c r="V58" i="42"/>
  <c r="V50" i="42"/>
  <c r="V42" i="42"/>
  <c r="V34" i="42"/>
  <c r="V30" i="42"/>
  <c r="T21" i="42"/>
  <c r="V21" i="42" s="1"/>
  <c r="V87" i="42"/>
  <c r="V81" i="42"/>
  <c r="V73" i="42"/>
  <c r="V69" i="42"/>
  <c r="V65" i="42"/>
  <c r="V61" i="42"/>
  <c r="V53" i="42"/>
  <c r="V41" i="42"/>
  <c r="V33" i="42"/>
  <c r="V29" i="42"/>
  <c r="V84" i="42"/>
  <c r="V72" i="42"/>
  <c r="V64" i="42"/>
  <c r="V60" i="42"/>
  <c r="V52" i="42"/>
  <c r="V44" i="42"/>
  <c r="V28" i="42"/>
  <c r="V93" i="42"/>
  <c r="V83" i="42"/>
  <c r="V71" i="42"/>
  <c r="V55" i="42"/>
  <c r="V47" i="42"/>
  <c r="V43" i="42"/>
  <c r="V27" i="42"/>
  <c r="V23" i="42"/>
  <c r="V19" i="42"/>
  <c r="V88" i="42"/>
  <c r="V78" i="42"/>
  <c r="V54" i="42"/>
  <c r="V46" i="42"/>
  <c r="V38" i="42"/>
  <c r="V26" i="42"/>
  <c r="V78" i="45"/>
  <c r="V54" i="45"/>
  <c r="V81" i="45"/>
  <c r="V75" i="45"/>
  <c r="V71" i="45"/>
  <c r="V55" i="45"/>
  <c r="V47" i="45"/>
  <c r="V39" i="45"/>
  <c r="V74" i="45"/>
  <c r="V70" i="45"/>
  <c r="V66" i="45"/>
  <c r="V62" i="45"/>
  <c r="V58" i="45"/>
  <c r="V50" i="45"/>
  <c r="V60" i="45"/>
  <c r="V59" i="45"/>
  <c r="V57" i="45"/>
  <c r="V42" i="45"/>
  <c r="V41" i="45"/>
  <c r="V29" i="45"/>
  <c r="V46" i="45"/>
  <c r="V45" i="45"/>
  <c r="V28" i="45"/>
  <c r="V53" i="45"/>
  <c r="V27" i="45"/>
  <c r="V23" i="45"/>
  <c r="V19" i="45"/>
  <c r="V56" i="45"/>
  <c r="V26" i="45"/>
  <c r="V18" i="45"/>
  <c r="V77" i="45"/>
  <c r="V76" i="45"/>
  <c r="V72" i="45"/>
  <c r="V51" i="45"/>
  <c r="V49" i="45"/>
  <c r="V44" i="45"/>
  <c r="V43" i="45"/>
  <c r="V40" i="45"/>
  <c r="V38" i="45"/>
  <c r="V37" i="45"/>
  <c r="V33" i="45"/>
  <c r="V25" i="45"/>
  <c r="V17" i="45"/>
  <c r="V79" i="45"/>
  <c r="V73" i="45"/>
  <c r="V52" i="45"/>
  <c r="V36" i="45"/>
  <c r="V32" i="45"/>
  <c r="V24" i="45"/>
  <c r="V67" i="45"/>
  <c r="V63" i="45"/>
  <c r="V35" i="45"/>
  <c r="V31" i="45"/>
  <c r="V85" i="45"/>
  <c r="V69" i="45"/>
  <c r="V68" i="45"/>
  <c r="V65" i="45"/>
  <c r="V64" i="45"/>
  <c r="V61" i="45"/>
  <c r="V48" i="45"/>
  <c r="V34" i="45"/>
  <c r="V30" i="45"/>
  <c r="T21" i="45"/>
  <c r="R25" i="31"/>
  <c r="J27" i="31"/>
  <c r="R29" i="31"/>
  <c r="J31" i="31"/>
  <c r="R33" i="31"/>
  <c r="J34" i="31"/>
  <c r="R36" i="31"/>
  <c r="J24" i="32"/>
  <c r="V36" i="33"/>
  <c r="V48" i="33"/>
  <c r="V60" i="33"/>
  <c r="V68" i="33"/>
  <c r="J16" i="34"/>
  <c r="R18" i="34"/>
  <c r="F22" i="34"/>
  <c r="V22" i="34"/>
  <c r="R15" i="35"/>
  <c r="P18" i="35"/>
  <c r="R25" i="35"/>
  <c r="J27" i="35"/>
  <c r="R29" i="35"/>
  <c r="J31" i="35"/>
  <c r="R33" i="35"/>
  <c r="J34" i="35"/>
  <c r="X14" i="36"/>
  <c r="R16" i="37"/>
  <c r="J18" i="37"/>
  <c r="F24" i="37"/>
  <c r="V24" i="37"/>
  <c r="J15" i="38"/>
  <c r="H18" i="38"/>
  <c r="V21" i="38"/>
  <c r="J25" i="38"/>
  <c r="R27" i="38"/>
  <c r="J29" i="38"/>
  <c r="R31" i="38"/>
  <c r="J33" i="38"/>
  <c r="V25" i="39"/>
  <c r="X32" i="39"/>
  <c r="Z32" i="39" s="1"/>
  <c r="V33" i="39"/>
  <c r="V45" i="39"/>
  <c r="V53" i="39"/>
  <c r="X56" i="39"/>
  <c r="V57" i="39"/>
  <c r="L58" i="39"/>
  <c r="N58" i="39" s="1"/>
  <c r="X64" i="39"/>
  <c r="Z64" i="39" s="1"/>
  <c r="V65" i="39"/>
  <c r="L66" i="39"/>
  <c r="N66" i="39" s="1"/>
  <c r="V81" i="39"/>
  <c r="V93" i="39"/>
  <c r="V103" i="39"/>
  <c r="F18" i="40"/>
  <c r="J22" i="40"/>
  <c r="R24" i="40"/>
  <c r="T18" i="41"/>
  <c r="F25" i="41"/>
  <c r="J89" i="42"/>
  <c r="J79" i="42"/>
  <c r="J73" i="42"/>
  <c r="J65" i="42"/>
  <c r="J61" i="42"/>
  <c r="J53" i="42"/>
  <c r="J39" i="42"/>
  <c r="J29" i="42"/>
  <c r="J84" i="42"/>
  <c r="J72" i="42"/>
  <c r="J58" i="42"/>
  <c r="J50" i="42"/>
  <c r="J44" i="42"/>
  <c r="J28" i="42"/>
  <c r="H21" i="42"/>
  <c r="J21" i="42" s="1"/>
  <c r="J93" i="42"/>
  <c r="J87" i="42"/>
  <c r="J81" i="42"/>
  <c r="J69" i="42"/>
  <c r="J55" i="42"/>
  <c r="J47" i="42"/>
  <c r="J41" i="42"/>
  <c r="J33" i="42"/>
  <c r="J27" i="42"/>
  <c r="J19" i="42"/>
  <c r="J78" i="42"/>
  <c r="J64" i="42"/>
  <c r="J60" i="42"/>
  <c r="J52" i="42"/>
  <c r="J46" i="42"/>
  <c r="J38" i="42"/>
  <c r="J26" i="42"/>
  <c r="J18" i="42"/>
  <c r="J83" i="42"/>
  <c r="J77" i="42"/>
  <c r="J71" i="42"/>
  <c r="J57" i="42"/>
  <c r="J49" i="42"/>
  <c r="J43" i="42"/>
  <c r="J37" i="42"/>
  <c r="J25" i="42"/>
  <c r="J23" i="42"/>
  <c r="J88" i="42"/>
  <c r="J80" i="42"/>
  <c r="J76" i="42"/>
  <c r="J68" i="42"/>
  <c r="J54" i="42"/>
  <c r="J40" i="42"/>
  <c r="J36" i="42"/>
  <c r="J32" i="42"/>
  <c r="J75" i="42"/>
  <c r="J67" i="42"/>
  <c r="J63" i="42"/>
  <c r="J59" i="42"/>
  <c r="J51" i="42"/>
  <c r="J45" i="42"/>
  <c r="J35" i="42"/>
  <c r="J31" i="42"/>
  <c r="J17" i="42"/>
  <c r="J82" i="42"/>
  <c r="J74" i="42"/>
  <c r="J70" i="42"/>
  <c r="J66" i="42"/>
  <c r="J62" i="42"/>
  <c r="J56" i="42"/>
  <c r="J48" i="42"/>
  <c r="J42" i="42"/>
  <c r="J34" i="42"/>
  <c r="J30" i="42"/>
  <c r="J24" i="42"/>
  <c r="Z54" i="42"/>
  <c r="Z69" i="42"/>
  <c r="N71" i="42"/>
  <c r="Z81" i="42"/>
  <c r="N83" i="42"/>
  <c r="R85" i="45"/>
  <c r="R79" i="45"/>
  <c r="R76" i="45"/>
  <c r="R72" i="45"/>
  <c r="R56" i="45"/>
  <c r="R53" i="45"/>
  <c r="R48" i="45"/>
  <c r="R45" i="45"/>
  <c r="R40" i="45"/>
  <c r="R75" i="45"/>
  <c r="R71" i="45"/>
  <c r="R69" i="45"/>
  <c r="R68" i="45"/>
  <c r="R67" i="45"/>
  <c r="R65" i="45"/>
  <c r="R64" i="45"/>
  <c r="R63" i="45"/>
  <c r="R61" i="45"/>
  <c r="R30" i="45"/>
  <c r="R70" i="45"/>
  <c r="R66" i="45"/>
  <c r="R62" i="45"/>
  <c r="R60" i="45"/>
  <c r="R42" i="45"/>
  <c r="R34" i="45"/>
  <c r="R29" i="45"/>
  <c r="P21" i="45"/>
  <c r="R59" i="45"/>
  <c r="R57" i="45"/>
  <c r="R46" i="45"/>
  <c r="R41" i="45"/>
  <c r="R28" i="45"/>
  <c r="X12" i="45"/>
  <c r="Z12" i="45" s="1"/>
  <c r="R58" i="45"/>
  <c r="R55" i="45"/>
  <c r="R27" i="45"/>
  <c r="R19" i="45"/>
  <c r="R78" i="45"/>
  <c r="R74" i="45"/>
  <c r="R54" i="45"/>
  <c r="R39" i="45"/>
  <c r="R26" i="45"/>
  <c r="R23" i="45"/>
  <c r="R18" i="45"/>
  <c r="R81" i="45"/>
  <c r="R77" i="45"/>
  <c r="R44" i="45"/>
  <c r="R38" i="45"/>
  <c r="R37" i="45"/>
  <c r="R33" i="45"/>
  <c r="R25" i="45"/>
  <c r="R73" i="45"/>
  <c r="R52" i="45"/>
  <c r="R51" i="45"/>
  <c r="R49" i="45"/>
  <c r="R43" i="45"/>
  <c r="R36" i="45"/>
  <c r="R32" i="45"/>
  <c r="R17" i="45"/>
  <c r="R50" i="45"/>
  <c r="R47" i="45"/>
  <c r="R35" i="45"/>
  <c r="R31" i="45"/>
  <c r="R24" i="45"/>
  <c r="J16" i="31"/>
  <c r="R15" i="32"/>
  <c r="P18" i="32"/>
  <c r="R25" i="32"/>
  <c r="J27" i="32"/>
  <c r="R29" i="32"/>
  <c r="J31" i="32"/>
  <c r="R33" i="32"/>
  <c r="V37" i="33"/>
  <c r="V41" i="33"/>
  <c r="V45" i="33"/>
  <c r="V57" i="33"/>
  <c r="V61" i="33"/>
  <c r="V65" i="33"/>
  <c r="L12" i="34"/>
  <c r="F15" i="34"/>
  <c r="V15" i="34"/>
  <c r="D18" i="34"/>
  <c r="T18" i="34"/>
  <c r="F25" i="34"/>
  <c r="V25" i="34"/>
  <c r="F29" i="34"/>
  <c r="V29" i="34"/>
  <c r="F33" i="34"/>
  <c r="V33" i="34"/>
  <c r="J16" i="35"/>
  <c r="F27" i="37"/>
  <c r="V27" i="37"/>
  <c r="F31" i="37"/>
  <c r="V31" i="37"/>
  <c r="V26" i="39"/>
  <c r="V34" i="39"/>
  <c r="V46" i="39"/>
  <c r="V54" i="39"/>
  <c r="V62" i="39"/>
  <c r="V70" i="39"/>
  <c r="V74" i="39"/>
  <c r="V82" i="39"/>
  <c r="J15" i="40"/>
  <c r="H18" i="40"/>
  <c r="J25" i="40"/>
  <c r="R27" i="40"/>
  <c r="J29" i="40"/>
  <c r="R31" i="40"/>
  <c r="J33" i="40"/>
  <c r="F18" i="41"/>
  <c r="V18" i="41"/>
  <c r="J22" i="41"/>
  <c r="R24" i="41"/>
  <c r="L33" i="41"/>
  <c r="F82" i="42"/>
  <c r="F74" i="42"/>
  <c r="F70" i="42"/>
  <c r="F66" i="42"/>
  <c r="F62" i="42"/>
  <c r="F45" i="42"/>
  <c r="F42" i="42"/>
  <c r="F34" i="42"/>
  <c r="F30" i="42"/>
  <c r="F17" i="42"/>
  <c r="F86" i="42"/>
  <c r="F73" i="42"/>
  <c r="F65" i="42"/>
  <c r="F61" i="42"/>
  <c r="F56" i="42"/>
  <c r="F53" i="42"/>
  <c r="F48" i="42"/>
  <c r="F29" i="42"/>
  <c r="F24" i="42"/>
  <c r="F89" i="42"/>
  <c r="F84" i="42"/>
  <c r="F79" i="42"/>
  <c r="F72" i="42"/>
  <c r="F44" i="42"/>
  <c r="F39" i="42"/>
  <c r="F28" i="42"/>
  <c r="L12" i="42"/>
  <c r="N12" i="42" s="1"/>
  <c r="F93" i="42"/>
  <c r="F58" i="42"/>
  <c r="F55" i="42"/>
  <c r="F50" i="42"/>
  <c r="F47" i="42"/>
  <c r="F27" i="42"/>
  <c r="D21" i="42"/>
  <c r="F19" i="42"/>
  <c r="F87" i="42"/>
  <c r="F81" i="42"/>
  <c r="F78" i="42"/>
  <c r="F69" i="42"/>
  <c r="F46" i="42"/>
  <c r="F41" i="42"/>
  <c r="F38" i="42"/>
  <c r="F33" i="42"/>
  <c r="F26" i="42"/>
  <c r="F18" i="42"/>
  <c r="F77" i="42"/>
  <c r="F64" i="42"/>
  <c r="F60" i="42"/>
  <c r="F57" i="42"/>
  <c r="F52" i="42"/>
  <c r="F49" i="42"/>
  <c r="F37" i="42"/>
  <c r="F25" i="42"/>
  <c r="F83" i="42"/>
  <c r="F80" i="42"/>
  <c r="F76" i="42"/>
  <c r="F71" i="42"/>
  <c r="F68" i="42"/>
  <c r="F43" i="42"/>
  <c r="F40" i="42"/>
  <c r="F36" i="42"/>
  <c r="F32" i="42"/>
  <c r="F23" i="42"/>
  <c r="F88" i="42"/>
  <c r="F75" i="42"/>
  <c r="F67" i="42"/>
  <c r="F63" i="42"/>
  <c r="F59" i="42"/>
  <c r="F54" i="42"/>
  <c r="F51" i="42"/>
  <c r="F35" i="42"/>
  <c r="F31" i="42"/>
  <c r="Z17" i="45"/>
  <c r="L52" i="48"/>
  <c r="L39" i="42"/>
  <c r="L12" i="43"/>
  <c r="F15" i="43"/>
  <c r="D18" i="43"/>
  <c r="R21" i="43"/>
  <c r="F25" i="43"/>
  <c r="F29" i="43"/>
  <c r="F33" i="43"/>
  <c r="F36" i="43"/>
  <c r="J16" i="44"/>
  <c r="J20" i="44"/>
  <c r="V22" i="44"/>
  <c r="H12" i="45"/>
  <c r="Z14" i="45"/>
  <c r="X49" i="45"/>
  <c r="L59" i="45"/>
  <c r="V36" i="46"/>
  <c r="V33" i="46"/>
  <c r="V29" i="46"/>
  <c r="V25" i="46"/>
  <c r="T18" i="46"/>
  <c r="V15" i="46"/>
  <c r="V20" i="46"/>
  <c r="V16" i="46"/>
  <c r="Z12" i="46"/>
  <c r="V34" i="46"/>
  <c r="V31" i="46"/>
  <c r="V27" i="46"/>
  <c r="L15" i="48"/>
  <c r="J28" i="48"/>
  <c r="R30" i="48"/>
  <c r="H52" i="48"/>
  <c r="L53" i="48"/>
  <c r="N53" i="48" s="1"/>
  <c r="F34" i="49"/>
  <c r="F31" i="49"/>
  <c r="F27" i="49"/>
  <c r="F24" i="49"/>
  <c r="F21" i="49"/>
  <c r="F18" i="49"/>
  <c r="F36" i="49"/>
  <c r="F33" i="49"/>
  <c r="F29" i="49"/>
  <c r="F25" i="49"/>
  <c r="D18" i="49"/>
  <c r="F15" i="49"/>
  <c r="L12" i="49"/>
  <c r="X15" i="49"/>
  <c r="X25" i="49"/>
  <c r="L16" i="50"/>
  <c r="D12" i="51"/>
  <c r="N25" i="51"/>
  <c r="N48" i="51"/>
  <c r="Z68" i="51"/>
  <c r="X68" i="51"/>
  <c r="D18" i="52"/>
  <c r="J34" i="53"/>
  <c r="N18" i="55"/>
  <c r="L18" i="55"/>
  <c r="L16" i="56"/>
  <c r="D56" i="56"/>
  <c r="X41" i="56"/>
  <c r="Z41" i="56" s="1"/>
  <c r="Z44" i="57"/>
  <c r="L50" i="58"/>
  <c r="Z33" i="59"/>
  <c r="X33" i="59"/>
  <c r="F18" i="43"/>
  <c r="R24" i="43"/>
  <c r="L12" i="44"/>
  <c r="V15" i="44"/>
  <c r="T18" i="44"/>
  <c r="V25" i="44"/>
  <c r="V29" i="44"/>
  <c r="V33" i="44"/>
  <c r="V36" i="44"/>
  <c r="V18" i="46"/>
  <c r="V24" i="46"/>
  <c r="X25" i="46"/>
  <c r="L20" i="47"/>
  <c r="J27" i="48"/>
  <c r="R29" i="48"/>
  <c r="J35" i="48"/>
  <c r="J36" i="48"/>
  <c r="L39" i="48"/>
  <c r="N39" i="48" s="1"/>
  <c r="N47" i="48"/>
  <c r="L47" i="48"/>
  <c r="J53" i="48"/>
  <c r="J21" i="49"/>
  <c r="J18" i="49"/>
  <c r="J36" i="49"/>
  <c r="J33" i="49"/>
  <c r="J29" i="49"/>
  <c r="J25" i="49"/>
  <c r="H18" i="49"/>
  <c r="J15" i="49"/>
  <c r="J22" i="49"/>
  <c r="N12" i="49"/>
  <c r="F24" i="50"/>
  <c r="F21" i="50"/>
  <c r="F18" i="50"/>
  <c r="F36" i="50"/>
  <c r="F33" i="50"/>
  <c r="F29" i="50"/>
  <c r="F25" i="50"/>
  <c r="D18" i="50"/>
  <c r="F15" i="50"/>
  <c r="L12" i="50"/>
  <c r="F22" i="50"/>
  <c r="F16" i="50"/>
  <c r="F34" i="50"/>
  <c r="X77" i="51"/>
  <c r="Z77" i="51" s="1"/>
  <c r="N22" i="52"/>
  <c r="L22" i="52"/>
  <c r="N20" i="53"/>
  <c r="L20" i="53"/>
  <c r="D34" i="55"/>
  <c r="N50" i="58"/>
  <c r="J34" i="60"/>
  <c r="J28" i="60"/>
  <c r="J22" i="60"/>
  <c r="J46" i="60"/>
  <c r="J40" i="60"/>
  <c r="J36" i="60"/>
  <c r="J30" i="60"/>
  <c r="J20" i="60"/>
  <c r="J18" i="60"/>
  <c r="J14" i="60"/>
  <c r="N12" i="60"/>
  <c r="J49" i="60"/>
  <c r="J31" i="60"/>
  <c r="J24" i="60"/>
  <c r="J21" i="60"/>
  <c r="J38" i="60"/>
  <c r="J37" i="60"/>
  <c r="J29" i="60"/>
  <c r="J26" i="60"/>
  <c r="J25" i="60"/>
  <c r="J23" i="60"/>
  <c r="J19" i="60"/>
  <c r="J27" i="60"/>
  <c r="J35" i="60"/>
  <c r="J42" i="60"/>
  <c r="H16" i="60"/>
  <c r="J33" i="60"/>
  <c r="L12" i="60"/>
  <c r="F21" i="43"/>
  <c r="R27" i="43"/>
  <c r="R31" i="43"/>
  <c r="R34" i="43"/>
  <c r="Z49" i="45"/>
  <c r="N59" i="45"/>
  <c r="J46" i="48"/>
  <c r="J38" i="48"/>
  <c r="J30" i="48"/>
  <c r="J26" i="48"/>
  <c r="J20" i="48"/>
  <c r="J52" i="48"/>
  <c r="J48" i="48"/>
  <c r="J40" i="48"/>
  <c r="J24" i="48"/>
  <c r="H17" i="48"/>
  <c r="J45" i="48"/>
  <c r="J37" i="48"/>
  <c r="J29" i="48"/>
  <c r="J23" i="48"/>
  <c r="J50" i="48"/>
  <c r="J42" i="48"/>
  <c r="J34" i="48"/>
  <c r="J22" i="48"/>
  <c r="J17" i="48"/>
  <c r="J19" i="48"/>
  <c r="Z29" i="48"/>
  <c r="X29" i="48"/>
  <c r="J33" i="48"/>
  <c r="J39" i="48"/>
  <c r="J41" i="48"/>
  <c r="J47" i="48"/>
  <c r="J49" i="48"/>
  <c r="N34" i="50"/>
  <c r="L34" i="50"/>
  <c r="Z48" i="51"/>
  <c r="X48" i="51"/>
  <c r="L70" i="51"/>
  <c r="N70" i="51" s="1"/>
  <c r="Z25" i="52"/>
  <c r="X25" i="52"/>
  <c r="Z29" i="52"/>
  <c r="X29" i="52"/>
  <c r="Z33" i="52"/>
  <c r="X33" i="52"/>
  <c r="Z25" i="53"/>
  <c r="X25" i="53"/>
  <c r="Z18" i="54"/>
  <c r="X18" i="54"/>
  <c r="N28" i="54"/>
  <c r="N35" i="56"/>
  <c r="T58" i="57"/>
  <c r="N38" i="58"/>
  <c r="J44" i="60"/>
  <c r="X14" i="42"/>
  <c r="Z14" i="42" s="1"/>
  <c r="R16" i="43"/>
  <c r="J18" i="43"/>
  <c r="R20" i="43"/>
  <c r="F24" i="43"/>
  <c r="V24" i="43"/>
  <c r="J15" i="44"/>
  <c r="H18" i="44"/>
  <c r="V21" i="44"/>
  <c r="J25" i="44"/>
  <c r="R27" i="44"/>
  <c r="J29" i="44"/>
  <c r="R31" i="44"/>
  <c r="J33" i="44"/>
  <c r="R34" i="44"/>
  <c r="J36" i="44"/>
  <c r="X33" i="46"/>
  <c r="R18" i="47"/>
  <c r="R22" i="47"/>
  <c r="X12" i="47"/>
  <c r="R20" i="47"/>
  <c r="R16" i="47"/>
  <c r="P18" i="47"/>
  <c r="F57" i="48"/>
  <c r="F31" i="48"/>
  <c r="F27" i="48"/>
  <c r="F25" i="48"/>
  <c r="F20" i="48"/>
  <c r="F48" i="48"/>
  <c r="F43" i="48"/>
  <c r="F40" i="48"/>
  <c r="F35" i="48"/>
  <c r="F24" i="48"/>
  <c r="F17" i="48"/>
  <c r="F52" i="48"/>
  <c r="F23" i="48"/>
  <c r="D17" i="48"/>
  <c r="L13" i="48"/>
  <c r="J15" i="48"/>
  <c r="J21" i="48"/>
  <c r="J25" i="48"/>
  <c r="V29" i="48"/>
  <c r="J32" i="48"/>
  <c r="R34" i="48"/>
  <c r="R38" i="48"/>
  <c r="R40" i="48"/>
  <c r="J43" i="48"/>
  <c r="J44" i="48"/>
  <c r="R46" i="48"/>
  <c r="R48" i="48"/>
  <c r="R52" i="48"/>
  <c r="R53" i="48"/>
  <c r="V34" i="49"/>
  <c r="V31" i="49"/>
  <c r="V27" i="49"/>
  <c r="X12" i="49"/>
  <c r="V24" i="49"/>
  <c r="V21" i="49"/>
  <c r="V18" i="49"/>
  <c r="V36" i="49"/>
  <c r="V33" i="49"/>
  <c r="V29" i="49"/>
  <c r="V25" i="49"/>
  <c r="T18" i="49"/>
  <c r="V15" i="49"/>
  <c r="V16" i="49"/>
  <c r="N20" i="49"/>
  <c r="L20" i="49"/>
  <c r="Z22" i="49"/>
  <c r="X22" i="49"/>
  <c r="X29" i="49"/>
  <c r="J34" i="49"/>
  <c r="L20" i="50"/>
  <c r="X23" i="51"/>
  <c r="Z24" i="51"/>
  <c r="N28" i="51"/>
  <c r="X31" i="51"/>
  <c r="Z86" i="51"/>
  <c r="X86" i="51"/>
  <c r="L13" i="52"/>
  <c r="F20" i="53"/>
  <c r="F16" i="53"/>
  <c r="F34" i="53"/>
  <c r="F31" i="53"/>
  <c r="F27" i="53"/>
  <c r="F24" i="53"/>
  <c r="F21" i="53"/>
  <c r="F18" i="53"/>
  <c r="F36" i="53"/>
  <c r="F33" i="53"/>
  <c r="F29" i="53"/>
  <c r="F25" i="53"/>
  <c r="D18" i="53"/>
  <c r="F15" i="53"/>
  <c r="L12" i="53"/>
  <c r="Z15" i="53"/>
  <c r="X15" i="53"/>
  <c r="T18" i="53"/>
  <c r="X18" i="53" s="1"/>
  <c r="Z22" i="53"/>
  <c r="X22" i="53"/>
  <c r="Z29" i="53"/>
  <c r="X29" i="53"/>
  <c r="P26" i="54"/>
  <c r="N14" i="55"/>
  <c r="L14" i="55"/>
  <c r="P30" i="55"/>
  <c r="X16" i="55"/>
  <c r="Z19" i="55"/>
  <c r="Z23" i="55"/>
  <c r="X23" i="55"/>
  <c r="T56" i="56"/>
  <c r="Z16" i="56"/>
  <c r="R40" i="56"/>
  <c r="R47" i="57"/>
  <c r="R44" i="57"/>
  <c r="R40" i="57"/>
  <c r="R28" i="57"/>
  <c r="R23" i="57"/>
  <c r="R50" i="57"/>
  <c r="R34" i="57"/>
  <c r="R31" i="57"/>
  <c r="R22" i="57"/>
  <c r="R52" i="57"/>
  <c r="R49" i="57"/>
  <c r="R36" i="57"/>
  <c r="R33" i="57"/>
  <c r="R20" i="57"/>
  <c r="X12" i="57"/>
  <c r="R65" i="57"/>
  <c r="R58" i="57"/>
  <c r="R45" i="57"/>
  <c r="R41" i="57"/>
  <c r="R38" i="57"/>
  <c r="R29" i="57"/>
  <c r="R25" i="57"/>
  <c r="R16" i="57"/>
  <c r="R46" i="57"/>
  <c r="R43" i="57"/>
  <c r="R42" i="57"/>
  <c r="R35" i="57"/>
  <c r="R30" i="57"/>
  <c r="R24" i="57"/>
  <c r="P16" i="57"/>
  <c r="R60" i="57"/>
  <c r="R21" i="57"/>
  <c r="R62" i="57"/>
  <c r="R48" i="57"/>
  <c r="R39" i="57"/>
  <c r="R37" i="57"/>
  <c r="R27" i="57"/>
  <c r="R26" i="57"/>
  <c r="R53" i="57"/>
  <c r="R51" i="57"/>
  <c r="Z35" i="57"/>
  <c r="Z46" i="57"/>
  <c r="Z45" i="58"/>
  <c r="T36" i="65"/>
  <c r="X41" i="42"/>
  <c r="Z41" i="42" s="1"/>
  <c r="X87" i="42"/>
  <c r="Z87" i="42" s="1"/>
  <c r="X12" i="43"/>
  <c r="X24" i="43"/>
  <c r="F27" i="43"/>
  <c r="F31" i="43"/>
  <c r="F34" i="43"/>
  <c r="L15" i="44"/>
  <c r="X21" i="44"/>
  <c r="V24" i="44"/>
  <c r="L25" i="44"/>
  <c r="L29" i="44"/>
  <c r="L33" i="44"/>
  <c r="X17" i="45"/>
  <c r="L51" i="45"/>
  <c r="X57" i="45"/>
  <c r="N63" i="45"/>
  <c r="N67" i="45"/>
  <c r="X76" i="45"/>
  <c r="Z76" i="45" s="1"/>
  <c r="F36" i="46"/>
  <c r="F33" i="46"/>
  <c r="F29" i="46"/>
  <c r="F25" i="46"/>
  <c r="D18" i="46"/>
  <c r="F15" i="46"/>
  <c r="L12" i="46"/>
  <c r="F20" i="46"/>
  <c r="F16" i="46"/>
  <c r="F34" i="46"/>
  <c r="F31" i="46"/>
  <c r="F27" i="46"/>
  <c r="L15" i="46"/>
  <c r="F18" i="46"/>
  <c r="V21" i="46"/>
  <c r="X21" i="47"/>
  <c r="L22" i="47"/>
  <c r="L12" i="48"/>
  <c r="N13" i="48"/>
  <c r="P17" i="48"/>
  <c r="R19" i="48"/>
  <c r="R22" i="48"/>
  <c r="J31" i="48"/>
  <c r="R35" i="48"/>
  <c r="R37" i="48"/>
  <c r="R39" i="48"/>
  <c r="R45" i="48"/>
  <c r="R47" i="48"/>
  <c r="Z52" i="48"/>
  <c r="F27" i="50"/>
  <c r="Z23" i="51"/>
  <c r="Z31" i="51"/>
  <c r="X85" i="51"/>
  <c r="P84" i="51"/>
  <c r="J24" i="53"/>
  <c r="J21" i="53"/>
  <c r="J18" i="53"/>
  <c r="J36" i="53"/>
  <c r="J33" i="53"/>
  <c r="J29" i="53"/>
  <c r="J25" i="53"/>
  <c r="H18" i="53"/>
  <c r="J15" i="53"/>
  <c r="J22" i="53"/>
  <c r="N12" i="53"/>
  <c r="J27" i="53"/>
  <c r="Z33" i="53"/>
  <c r="X33" i="53"/>
  <c r="N19" i="56"/>
  <c r="L19" i="56"/>
  <c r="X28" i="60"/>
  <c r="Z28" i="60" s="1"/>
  <c r="J32" i="60"/>
  <c r="T86" i="42"/>
  <c r="X86" i="42" s="1"/>
  <c r="F16" i="43"/>
  <c r="F20" i="43"/>
  <c r="R22" i="43"/>
  <c r="J24" i="43"/>
  <c r="X12" i="44"/>
  <c r="J21" i="44"/>
  <c r="V27" i="44"/>
  <c r="V31" i="44"/>
  <c r="L81" i="45"/>
  <c r="J34" i="46"/>
  <c r="J31" i="46"/>
  <c r="J27" i="46"/>
  <c r="J24" i="46"/>
  <c r="J21" i="46"/>
  <c r="J16" i="46"/>
  <c r="H18" i="46"/>
  <c r="J25" i="46"/>
  <c r="N12" i="48"/>
  <c r="R15" i="48"/>
  <c r="R17" i="48"/>
  <c r="R26" i="48"/>
  <c r="F29" i="48"/>
  <c r="X37" i="48"/>
  <c r="Z37" i="48" s="1"/>
  <c r="R42" i="48"/>
  <c r="Z45" i="48"/>
  <c r="X45" i="48"/>
  <c r="R50" i="48"/>
  <c r="J57" i="48"/>
  <c r="F16" i="49"/>
  <c r="X13" i="50"/>
  <c r="X15" i="51"/>
  <c r="Z16" i="51"/>
  <c r="L19" i="51"/>
  <c r="Z22" i="51"/>
  <c r="N27" i="51"/>
  <c r="X29" i="51"/>
  <c r="Z29" i="51" s="1"/>
  <c r="Z75" i="51"/>
  <c r="Z85" i="51"/>
  <c r="J34" i="52"/>
  <c r="J31" i="52"/>
  <c r="J27" i="52"/>
  <c r="J24" i="52"/>
  <c r="J21" i="52"/>
  <c r="J18" i="52"/>
  <c r="J36" i="52"/>
  <c r="J33" i="52"/>
  <c r="J29" i="52"/>
  <c r="J25" i="52"/>
  <c r="H18" i="52"/>
  <c r="J15" i="52"/>
  <c r="J22" i="52"/>
  <c r="N12" i="52"/>
  <c r="Z15" i="52"/>
  <c r="X15" i="52"/>
  <c r="P27" i="53"/>
  <c r="J31" i="53"/>
  <c r="Z28" i="54"/>
  <c r="X28" i="54"/>
  <c r="J19" i="55"/>
  <c r="J34" i="55"/>
  <c r="J28" i="55"/>
  <c r="J24" i="55"/>
  <c r="J16" i="55"/>
  <c r="J21" i="55"/>
  <c r="H16" i="55"/>
  <c r="J32" i="55"/>
  <c r="J26" i="55"/>
  <c r="J23" i="55"/>
  <c r="J37" i="55"/>
  <c r="J30" i="55"/>
  <c r="J20" i="55"/>
  <c r="J18" i="55"/>
  <c r="J14" i="55"/>
  <c r="N12" i="55"/>
  <c r="T34" i="55"/>
  <c r="N25" i="55"/>
  <c r="L25" i="55"/>
  <c r="R63" i="56"/>
  <c r="R56" i="56"/>
  <c r="R48" i="56"/>
  <c r="R28" i="56"/>
  <c r="R23" i="56"/>
  <c r="R51" i="56"/>
  <c r="R42" i="56"/>
  <c r="R39" i="56"/>
  <c r="R44" i="56"/>
  <c r="R41" i="56"/>
  <c r="R36" i="56"/>
  <c r="R33" i="56"/>
  <c r="R20" i="56"/>
  <c r="R49" i="56"/>
  <c r="R46" i="56"/>
  <c r="R29" i="56"/>
  <c r="R25" i="56"/>
  <c r="R16" i="56"/>
  <c r="R50" i="56"/>
  <c r="R38" i="56"/>
  <c r="R37" i="56"/>
  <c r="R24" i="56"/>
  <c r="P16" i="56"/>
  <c r="R43" i="56"/>
  <c r="R35" i="56"/>
  <c r="R34" i="56"/>
  <c r="R58" i="56"/>
  <c r="R31" i="56"/>
  <c r="R19" i="56"/>
  <c r="R32" i="56"/>
  <c r="R27" i="56"/>
  <c r="R26" i="56"/>
  <c r="R14" i="56"/>
  <c r="R60" i="56"/>
  <c r="R47" i="56"/>
  <c r="R45" i="56"/>
  <c r="R22" i="56"/>
  <c r="X12" i="56"/>
  <c r="R30" i="56"/>
  <c r="R21" i="56"/>
  <c r="R18" i="56"/>
  <c r="N28" i="56"/>
  <c r="P60" i="58"/>
  <c r="Z23" i="64"/>
  <c r="X23" i="64"/>
  <c r="R25" i="43"/>
  <c r="R29" i="43"/>
  <c r="R33" i="43"/>
  <c r="R36" i="43"/>
  <c r="Z41" i="45"/>
  <c r="N51" i="45"/>
  <c r="Z57" i="45"/>
  <c r="L21" i="46"/>
  <c r="X24" i="46"/>
  <c r="J36" i="46"/>
  <c r="R23" i="48"/>
  <c r="R33" i="48"/>
  <c r="R21" i="48"/>
  <c r="R49" i="48"/>
  <c r="R44" i="48"/>
  <c r="R41" i="48"/>
  <c r="R36" i="48"/>
  <c r="R32" i="48"/>
  <c r="R28" i="48"/>
  <c r="X12" i="48"/>
  <c r="R57" i="48"/>
  <c r="R31" i="48"/>
  <c r="R27" i="48"/>
  <c r="R20" i="48"/>
  <c r="R25" i="48"/>
  <c r="R43" i="48"/>
  <c r="N16" i="49"/>
  <c r="L16" i="49"/>
  <c r="F22" i="49"/>
  <c r="X16" i="50"/>
  <c r="L24" i="50"/>
  <c r="P12" i="51"/>
  <c r="Z15" i="51"/>
  <c r="N26" i="51"/>
  <c r="Z59" i="51"/>
  <c r="Z66" i="51"/>
  <c r="F29" i="54"/>
  <c r="F26" i="54"/>
  <c r="F20" i="54"/>
  <c r="F16" i="54"/>
  <c r="F24" i="54"/>
  <c r="D16" i="54"/>
  <c r="L12" i="54"/>
  <c r="F31" i="54"/>
  <c r="F28" i="54"/>
  <c r="F22" i="54"/>
  <c r="F18" i="54"/>
  <c r="F14" i="54"/>
  <c r="J25" i="55"/>
  <c r="H86" i="42"/>
  <c r="J16" i="43"/>
  <c r="R15" i="44"/>
  <c r="P18" i="44"/>
  <c r="R25" i="44"/>
  <c r="J27" i="44"/>
  <c r="R29" i="44"/>
  <c r="J31" i="44"/>
  <c r="R33" i="44"/>
  <c r="L43" i="45"/>
  <c r="N43" i="45" s="1"/>
  <c r="R21" i="46"/>
  <c r="R36" i="46"/>
  <c r="R33" i="46"/>
  <c r="R29" i="46"/>
  <c r="R25" i="46"/>
  <c r="R22" i="46"/>
  <c r="X12" i="46"/>
  <c r="P18" i="46"/>
  <c r="N20" i="46"/>
  <c r="F21" i="46"/>
  <c r="V22" i="46"/>
  <c r="R24" i="46"/>
  <c r="J33" i="46"/>
  <c r="F22" i="47"/>
  <c r="F20" i="47"/>
  <c r="F16" i="47"/>
  <c r="F34" i="47"/>
  <c r="F31" i="47"/>
  <c r="F27" i="47"/>
  <c r="F24" i="47"/>
  <c r="L33" i="47"/>
  <c r="L19" i="48"/>
  <c r="N19" i="48" s="1"/>
  <c r="R24" i="48"/>
  <c r="F28" i="48"/>
  <c r="F53" i="48"/>
  <c r="J16" i="49"/>
  <c r="P18" i="49"/>
  <c r="J24" i="49"/>
  <c r="J31" i="49"/>
  <c r="X22" i="50"/>
  <c r="T12" i="51"/>
  <c r="Z14" i="51"/>
  <c r="N18" i="51"/>
  <c r="X81" i="51"/>
  <c r="Z81" i="51" s="1"/>
  <c r="J20" i="52"/>
  <c r="N16" i="53"/>
  <c r="L16" i="53"/>
  <c r="H22" i="54"/>
  <c r="N16" i="54"/>
  <c r="Z14" i="54"/>
  <c r="X14" i="54"/>
  <c r="Z21" i="55"/>
  <c r="R32" i="57"/>
  <c r="Z33" i="57"/>
  <c r="X29" i="58"/>
  <c r="Z29" i="58" s="1"/>
  <c r="V42" i="56"/>
  <c r="V34" i="56"/>
  <c r="V22" i="56"/>
  <c r="V45" i="56"/>
  <c r="V41" i="56"/>
  <c r="V47" i="56"/>
  <c r="V43" i="56"/>
  <c r="V35" i="56"/>
  <c r="V27" i="56"/>
  <c r="V19" i="56"/>
  <c r="V63" i="56"/>
  <c r="V58" i="56"/>
  <c r="V56" i="56"/>
  <c r="V52" i="56"/>
  <c r="V48" i="56"/>
  <c r="V40" i="56"/>
  <c r="V32" i="56"/>
  <c r="V28" i="56"/>
  <c r="V24" i="56"/>
  <c r="V49" i="56"/>
  <c r="V54" i="56"/>
  <c r="V62" i="57"/>
  <c r="V56" i="57"/>
  <c r="V50" i="57"/>
  <c r="V46" i="57"/>
  <c r="V34" i="57"/>
  <c r="V22" i="57"/>
  <c r="V18" i="57"/>
  <c r="V14" i="57"/>
  <c r="V49" i="57"/>
  <c r="V37" i="57"/>
  <c r="V33" i="57"/>
  <c r="V21" i="57"/>
  <c r="V51" i="57"/>
  <c r="V43" i="57"/>
  <c r="V39" i="57"/>
  <c r="V35" i="57"/>
  <c r="V27" i="57"/>
  <c r="V19" i="57"/>
  <c r="V48" i="57"/>
  <c r="V44" i="57"/>
  <c r="V40" i="57"/>
  <c r="V32" i="57"/>
  <c r="V28" i="57"/>
  <c r="V24" i="57"/>
  <c r="V41" i="57"/>
  <c r="Z19" i="58"/>
  <c r="N29" i="59"/>
  <c r="J18" i="47"/>
  <c r="V24" i="47"/>
  <c r="T17" i="48"/>
  <c r="V26" i="48"/>
  <c r="V30" i="48"/>
  <c r="V38" i="48"/>
  <c r="V46" i="48"/>
  <c r="V52" i="48"/>
  <c r="J16" i="50"/>
  <c r="R18" i="50"/>
  <c r="J20" i="50"/>
  <c r="H12" i="51"/>
  <c r="R27" i="52"/>
  <c r="R31" i="52"/>
  <c r="R34" i="52"/>
  <c r="R19" i="55"/>
  <c r="R22" i="55"/>
  <c r="V21" i="56"/>
  <c r="V30" i="56"/>
  <c r="V39" i="56"/>
  <c r="V51" i="56"/>
  <c r="Z12" i="57"/>
  <c r="X19" i="57"/>
  <c r="Z19" i="57" s="1"/>
  <c r="V29" i="57"/>
  <c r="V31" i="57"/>
  <c r="V65" i="57"/>
  <c r="Z43" i="59"/>
  <c r="Z32" i="60"/>
  <c r="V51" i="61"/>
  <c r="V46" i="61"/>
  <c r="V44" i="61"/>
  <c r="V40" i="61"/>
  <c r="V32" i="61"/>
  <c r="V28" i="61"/>
  <c r="V24" i="61"/>
  <c r="V39" i="61"/>
  <c r="V31" i="61"/>
  <c r="V27" i="61"/>
  <c r="V23" i="61"/>
  <c r="V34" i="61"/>
  <c r="V22" i="61"/>
  <c r="V18" i="61"/>
  <c r="V14" i="61"/>
  <c r="V33" i="61"/>
  <c r="V21" i="61"/>
  <c r="V48" i="61"/>
  <c r="V42" i="61"/>
  <c r="V36" i="61"/>
  <c r="V35" i="61"/>
  <c r="V19" i="61"/>
  <c r="X12" i="61"/>
  <c r="V37" i="61"/>
  <c r="V29" i="61"/>
  <c r="V25" i="61"/>
  <c r="T16" i="61"/>
  <c r="V16" i="61"/>
  <c r="V20" i="61"/>
  <c r="Z12" i="61"/>
  <c r="V26" i="61"/>
  <c r="N87" i="62"/>
  <c r="H86" i="62"/>
  <c r="L87" i="62"/>
  <c r="N16" i="64"/>
  <c r="L16" i="64"/>
  <c r="J21" i="47"/>
  <c r="V27" i="47"/>
  <c r="V31" i="47"/>
  <c r="V34" i="47"/>
  <c r="V17" i="48"/>
  <c r="V27" i="48"/>
  <c r="V31" i="48"/>
  <c r="V35" i="48"/>
  <c r="V43" i="48"/>
  <c r="V57" i="48"/>
  <c r="R24" i="49"/>
  <c r="V15" i="50"/>
  <c r="T18" i="50"/>
  <c r="R21" i="50"/>
  <c r="V25" i="50"/>
  <c r="V29" i="50"/>
  <c r="V33" i="50"/>
  <c r="V36" i="50"/>
  <c r="R16" i="52"/>
  <c r="R20" i="52"/>
  <c r="F24" i="52"/>
  <c r="V24" i="52"/>
  <c r="V21" i="53"/>
  <c r="R27" i="53"/>
  <c r="R31" i="53"/>
  <c r="R34" i="53"/>
  <c r="N12" i="54"/>
  <c r="J14" i="54"/>
  <c r="J18" i="54"/>
  <c r="R20" i="54"/>
  <c r="J22" i="54"/>
  <c r="R26" i="54"/>
  <c r="J28" i="54"/>
  <c r="J31" i="54"/>
  <c r="F16" i="55"/>
  <c r="V16" i="55"/>
  <c r="V22" i="55"/>
  <c r="F28" i="55"/>
  <c r="V28" i="55"/>
  <c r="F34" i="55"/>
  <c r="V34" i="55"/>
  <c r="Z12" i="56"/>
  <c r="J16" i="56"/>
  <c r="V18" i="56"/>
  <c r="J25" i="56"/>
  <c r="L37" i="56"/>
  <c r="F42" i="56"/>
  <c r="X48" i="56"/>
  <c r="Z48" i="56" s="1"/>
  <c r="H56" i="56"/>
  <c r="V60" i="56"/>
  <c r="V26" i="57"/>
  <c r="X28" i="57"/>
  <c r="Z28" i="57" s="1"/>
  <c r="X40" i="57"/>
  <c r="Z40" i="57" s="1"/>
  <c r="L46" i="57"/>
  <c r="N46" i="57" s="1"/>
  <c r="X51" i="57"/>
  <c r="V53" i="57"/>
  <c r="D58" i="57"/>
  <c r="V41" i="58"/>
  <c r="V33" i="58"/>
  <c r="V21" i="58"/>
  <c r="V64" i="58"/>
  <c r="V58" i="58"/>
  <c r="V44" i="58"/>
  <c r="V40" i="58"/>
  <c r="V32" i="58"/>
  <c r="V28" i="58"/>
  <c r="V20" i="58"/>
  <c r="Z12" i="58"/>
  <c r="V47" i="58"/>
  <c r="V43" i="58"/>
  <c r="V35" i="58"/>
  <c r="V31" i="58"/>
  <c r="V27" i="58"/>
  <c r="V19" i="58"/>
  <c r="X12" i="58"/>
  <c r="V53" i="58"/>
  <c r="V49" i="58"/>
  <c r="V45" i="58"/>
  <c r="V37" i="58"/>
  <c r="V29" i="58"/>
  <c r="V25" i="58"/>
  <c r="T16" i="58"/>
  <c r="V50" i="58"/>
  <c r="V38" i="58"/>
  <c r="V22" i="58"/>
  <c r="V18" i="58"/>
  <c r="V14" i="58"/>
  <c r="X14" i="58"/>
  <c r="F20" i="58"/>
  <c r="F28" i="58"/>
  <c r="N29" i="58"/>
  <c r="L45" i="58"/>
  <c r="X48" i="58"/>
  <c r="V51" i="58"/>
  <c r="L55" i="58"/>
  <c r="N55" i="58" s="1"/>
  <c r="V60" i="58"/>
  <c r="V56" i="59"/>
  <c r="V51" i="59"/>
  <c r="V49" i="59"/>
  <c r="V45" i="59"/>
  <c r="V41" i="59"/>
  <c r="V37" i="59"/>
  <c r="V21" i="59"/>
  <c r="V44" i="59"/>
  <c r="V32" i="59"/>
  <c r="V28" i="59"/>
  <c r="V20" i="59"/>
  <c r="Z12" i="59"/>
  <c r="V43" i="59"/>
  <c r="V31" i="59"/>
  <c r="V27" i="59"/>
  <c r="V19" i="59"/>
  <c r="X12" i="59"/>
  <c r="V53" i="59"/>
  <c r="V47" i="59"/>
  <c r="V33" i="59"/>
  <c r="V29" i="59"/>
  <c r="V25" i="59"/>
  <c r="T16" i="59"/>
  <c r="V42" i="59"/>
  <c r="V38" i="59"/>
  <c r="V22" i="59"/>
  <c r="V18" i="59"/>
  <c r="V14" i="59"/>
  <c r="L33" i="59"/>
  <c r="N33" i="59" s="1"/>
  <c r="L35" i="59"/>
  <c r="N35" i="59" s="1"/>
  <c r="X47" i="59"/>
  <c r="Z12" i="47"/>
  <c r="V16" i="47"/>
  <c r="V20" i="47"/>
  <c r="J24" i="47"/>
  <c r="Z12" i="48"/>
  <c r="V20" i="48"/>
  <c r="V28" i="48"/>
  <c r="V32" i="48"/>
  <c r="V36" i="48"/>
  <c r="V44" i="48"/>
  <c r="R27" i="49"/>
  <c r="R31" i="49"/>
  <c r="N12" i="50"/>
  <c r="V18" i="50"/>
  <c r="J22" i="50"/>
  <c r="R24" i="50"/>
  <c r="X12" i="52"/>
  <c r="F27" i="52"/>
  <c r="V27" i="52"/>
  <c r="F31" i="52"/>
  <c r="V31" i="52"/>
  <c r="F34" i="52"/>
  <c r="V34" i="52"/>
  <c r="R16" i="53"/>
  <c r="R20" i="53"/>
  <c r="V24" i="53"/>
  <c r="T16" i="54"/>
  <c r="X12" i="55"/>
  <c r="F19" i="55"/>
  <c r="V19" i="55"/>
  <c r="R20" i="55"/>
  <c r="F24" i="55"/>
  <c r="R25" i="55"/>
  <c r="F47" i="56"/>
  <c r="F27" i="56"/>
  <c r="F50" i="56"/>
  <c r="F41" i="56"/>
  <c r="F38" i="56"/>
  <c r="F58" i="56"/>
  <c r="F52" i="56"/>
  <c r="F43" i="56"/>
  <c r="F40" i="56"/>
  <c r="F35" i="56"/>
  <c r="F32" i="56"/>
  <c r="F24" i="56"/>
  <c r="F19" i="56"/>
  <c r="F63" i="56"/>
  <c r="F56" i="56"/>
  <c r="F48" i="56"/>
  <c r="F45" i="56"/>
  <c r="F28" i="56"/>
  <c r="F21" i="56"/>
  <c r="F18" i="56"/>
  <c r="X18" i="56"/>
  <c r="Z18" i="56" s="1"/>
  <c r="V20" i="56"/>
  <c r="J24" i="56"/>
  <c r="V26" i="56"/>
  <c r="V29" i="56"/>
  <c r="X33" i="56"/>
  <c r="Z33" i="56" s="1"/>
  <c r="F39" i="56"/>
  <c r="J42" i="56"/>
  <c r="V44" i="56"/>
  <c r="V46" i="56"/>
  <c r="F51" i="56"/>
  <c r="N16" i="57"/>
  <c r="H58" i="57"/>
  <c r="L18" i="57"/>
  <c r="N18" i="57" s="1"/>
  <c r="V38" i="57"/>
  <c r="L14" i="58"/>
  <c r="V30" i="58"/>
  <c r="F33" i="58"/>
  <c r="X36" i="58"/>
  <c r="Z36" i="58" s="1"/>
  <c r="V39" i="58"/>
  <c r="V42" i="58"/>
  <c r="N45" i="58"/>
  <c r="V46" i="58"/>
  <c r="V54" i="58"/>
  <c r="V56" i="58"/>
  <c r="L14" i="59"/>
  <c r="V36" i="59"/>
  <c r="V39" i="59"/>
  <c r="X51" i="62"/>
  <c r="Z51" i="62" s="1"/>
  <c r="L53" i="62"/>
  <c r="N53" i="62" s="1"/>
  <c r="R27" i="50"/>
  <c r="R31" i="50"/>
  <c r="R34" i="50"/>
  <c r="D84" i="51"/>
  <c r="L84" i="51" s="1"/>
  <c r="N84" i="51" s="1"/>
  <c r="T84" i="51"/>
  <c r="F16" i="52"/>
  <c r="V16" i="52"/>
  <c r="R22" i="52"/>
  <c r="X12" i="53"/>
  <c r="V27" i="53"/>
  <c r="V31" i="53"/>
  <c r="V34" i="53"/>
  <c r="V16" i="54"/>
  <c r="V20" i="54"/>
  <c r="J24" i="54"/>
  <c r="V26" i="54"/>
  <c r="V29" i="54"/>
  <c r="Z12" i="55"/>
  <c r="R14" i="55"/>
  <c r="Z16" i="55"/>
  <c r="R18" i="55"/>
  <c r="V20" i="55"/>
  <c r="R30" i="55"/>
  <c r="R37" i="55"/>
  <c r="J60" i="56"/>
  <c r="J54" i="56"/>
  <c r="J50" i="56"/>
  <c r="J38" i="56"/>
  <c r="J30" i="56"/>
  <c r="J26" i="56"/>
  <c r="J49" i="56"/>
  <c r="J43" i="56"/>
  <c r="J37" i="56"/>
  <c r="J23" i="56"/>
  <c r="J44" i="56"/>
  <c r="J36" i="56"/>
  <c r="J20" i="56"/>
  <c r="J18" i="56"/>
  <c r="V14" i="56"/>
  <c r="F23" i="56"/>
  <c r="V36" i="56"/>
  <c r="J40" i="56"/>
  <c r="J41" i="56"/>
  <c r="J52" i="56"/>
  <c r="N31" i="57"/>
  <c r="V36" i="57"/>
  <c r="V47" i="57"/>
  <c r="L51" i="57"/>
  <c r="V60" i="57"/>
  <c r="H60" i="58"/>
  <c r="N16" i="58"/>
  <c r="F16" i="58"/>
  <c r="F23" i="58"/>
  <c r="F32" i="58"/>
  <c r="V48" i="58"/>
  <c r="H49" i="59"/>
  <c r="N16" i="59"/>
  <c r="Z29" i="59"/>
  <c r="X17" i="69"/>
  <c r="Z17" i="69" s="1"/>
  <c r="J16" i="47"/>
  <c r="V22" i="48"/>
  <c r="V34" i="48"/>
  <c r="V42" i="48"/>
  <c r="R16" i="50"/>
  <c r="R15" i="52"/>
  <c r="P18" i="52"/>
  <c r="R25" i="52"/>
  <c r="R29" i="52"/>
  <c r="R33" i="52"/>
  <c r="V16" i="53"/>
  <c r="X16" i="54"/>
  <c r="F22" i="55"/>
  <c r="R23" i="55"/>
  <c r="R26" i="55"/>
  <c r="L12" i="56"/>
  <c r="V25" i="56"/>
  <c r="V31" i="56"/>
  <c r="V33" i="56"/>
  <c r="J39" i="56"/>
  <c r="Z43" i="56"/>
  <c r="F49" i="56"/>
  <c r="J51" i="56"/>
  <c r="J63" i="56"/>
  <c r="V25" i="57"/>
  <c r="V45" i="57"/>
  <c r="N53" i="57"/>
  <c r="F54" i="58"/>
  <c r="F46" i="58"/>
  <c r="F30" i="58"/>
  <c r="F26" i="58"/>
  <c r="F64" i="58"/>
  <c r="F58" i="58"/>
  <c r="F53" i="58"/>
  <c r="F49" i="58"/>
  <c r="F40" i="58"/>
  <c r="F37" i="58"/>
  <c r="F25" i="58"/>
  <c r="F62" i="58"/>
  <c r="F56" i="58"/>
  <c r="F52" i="58"/>
  <c r="F24" i="58"/>
  <c r="F19" i="58"/>
  <c r="F45" i="58"/>
  <c r="F29" i="58"/>
  <c r="F22" i="58"/>
  <c r="D16" i="58"/>
  <c r="F50" i="58"/>
  <c r="F47" i="58"/>
  <c r="F43" i="58"/>
  <c r="F38" i="58"/>
  <c r="F35" i="58"/>
  <c r="F31" i="58"/>
  <c r="F27" i="58"/>
  <c r="F18" i="58"/>
  <c r="F14" i="58"/>
  <c r="V36" i="58"/>
  <c r="F42" i="58"/>
  <c r="Z55" i="58"/>
  <c r="X16" i="59"/>
  <c r="X19" i="59"/>
  <c r="Z19" i="59" s="1"/>
  <c r="L47" i="59"/>
  <c r="P49" i="59"/>
  <c r="L32" i="60"/>
  <c r="N32" i="60" s="1"/>
  <c r="L18" i="61"/>
  <c r="N18" i="61" s="1"/>
  <c r="Z59" i="62"/>
  <c r="X59" i="62"/>
  <c r="H12" i="64"/>
  <c r="N14" i="64"/>
  <c r="Z24" i="65"/>
  <c r="X24" i="65"/>
  <c r="N12" i="57"/>
  <c r="J14" i="57"/>
  <c r="J18" i="57"/>
  <c r="J20" i="57"/>
  <c r="F21" i="57"/>
  <c r="F28" i="57"/>
  <c r="J36" i="57"/>
  <c r="F37" i="57"/>
  <c r="F40" i="57"/>
  <c r="F44" i="57"/>
  <c r="J46" i="57"/>
  <c r="J52" i="57"/>
  <c r="J56" i="57"/>
  <c r="J62" i="57"/>
  <c r="R23" i="58"/>
  <c r="J26" i="58"/>
  <c r="J30" i="58"/>
  <c r="R36" i="58"/>
  <c r="R39" i="58"/>
  <c r="J40" i="58"/>
  <c r="J46" i="58"/>
  <c r="R48" i="58"/>
  <c r="R51" i="58"/>
  <c r="J54" i="58"/>
  <c r="J58" i="58"/>
  <c r="R60" i="58"/>
  <c r="J64" i="58"/>
  <c r="R67" i="58"/>
  <c r="F14" i="59"/>
  <c r="F18" i="59"/>
  <c r="R23" i="59"/>
  <c r="J26" i="59"/>
  <c r="F27" i="59"/>
  <c r="J30" i="59"/>
  <c r="F31" i="59"/>
  <c r="J34" i="59"/>
  <c r="R39" i="59"/>
  <c r="F49" i="60"/>
  <c r="F42" i="60"/>
  <c r="F31" i="60"/>
  <c r="F23" i="60"/>
  <c r="F16" i="60"/>
  <c r="F33" i="60"/>
  <c r="F28" i="60"/>
  <c r="F21" i="60"/>
  <c r="F36" i="60"/>
  <c r="F14" i="60"/>
  <c r="D16" i="60"/>
  <c r="F20" i="60"/>
  <c r="R26" i="60"/>
  <c r="F32" i="60"/>
  <c r="R38" i="60"/>
  <c r="Z35" i="61"/>
  <c r="X35" i="61"/>
  <c r="N37" i="61"/>
  <c r="L37" i="61"/>
  <c r="H89" i="62"/>
  <c r="N16" i="62"/>
  <c r="Z18" i="62"/>
  <c r="N37" i="64"/>
  <c r="L85" i="66"/>
  <c r="N85" i="66"/>
  <c r="F19" i="57"/>
  <c r="J23" i="57"/>
  <c r="F24" i="57"/>
  <c r="F32" i="57"/>
  <c r="F35" i="57"/>
  <c r="J47" i="57"/>
  <c r="F48" i="57"/>
  <c r="F51" i="57"/>
  <c r="J53" i="57"/>
  <c r="R19" i="58"/>
  <c r="J21" i="58"/>
  <c r="R26" i="58"/>
  <c r="R30" i="58"/>
  <c r="J33" i="58"/>
  <c r="J41" i="58"/>
  <c r="R46" i="58"/>
  <c r="R54" i="58"/>
  <c r="J55" i="58"/>
  <c r="D16" i="59"/>
  <c r="R19" i="59"/>
  <c r="J21" i="59"/>
  <c r="F22" i="59"/>
  <c r="R26" i="59"/>
  <c r="F29" i="59"/>
  <c r="R30" i="59"/>
  <c r="F33" i="59"/>
  <c r="R34" i="59"/>
  <c r="J35" i="59"/>
  <c r="F38" i="59"/>
  <c r="F42" i="59"/>
  <c r="R43" i="59"/>
  <c r="J45" i="59"/>
  <c r="F47" i="59"/>
  <c r="J51" i="59"/>
  <c r="F53" i="59"/>
  <c r="R56" i="59"/>
  <c r="R32" i="60"/>
  <c r="R27" i="60"/>
  <c r="R49" i="60"/>
  <c r="R42" i="60"/>
  <c r="R29" i="60"/>
  <c r="R25" i="60"/>
  <c r="R16" i="60"/>
  <c r="R37" i="60"/>
  <c r="N18" i="60"/>
  <c r="Z30" i="60"/>
  <c r="R46" i="60"/>
  <c r="D48" i="61"/>
  <c r="N19" i="62"/>
  <c r="L61" i="62"/>
  <c r="N61" i="62" s="1"/>
  <c r="L86" i="62"/>
  <c r="L13" i="64"/>
  <c r="D12" i="64"/>
  <c r="T12" i="64"/>
  <c r="L21" i="65"/>
  <c r="N21" i="65" s="1"/>
  <c r="Z120" i="69"/>
  <c r="F26" i="57"/>
  <c r="F30" i="57"/>
  <c r="F33" i="57"/>
  <c r="J41" i="57"/>
  <c r="F42" i="57"/>
  <c r="J45" i="57"/>
  <c r="F49" i="57"/>
  <c r="J51" i="57"/>
  <c r="F54" i="57"/>
  <c r="F60" i="57"/>
  <c r="R44" i="58"/>
  <c r="J45" i="58"/>
  <c r="J51" i="58"/>
  <c r="F19" i="59"/>
  <c r="F24" i="59"/>
  <c r="F36" i="59"/>
  <c r="F40" i="59"/>
  <c r="F43" i="59"/>
  <c r="R44" i="59"/>
  <c r="J47" i="59"/>
  <c r="R49" i="59"/>
  <c r="J53" i="59"/>
  <c r="P46" i="60"/>
  <c r="H16" i="61"/>
  <c r="L14" i="61"/>
  <c r="X19" i="62"/>
  <c r="Z19" i="62" s="1"/>
  <c r="P93" i="62"/>
  <c r="F14" i="57"/>
  <c r="F18" i="57"/>
  <c r="J26" i="57"/>
  <c r="F27" i="57"/>
  <c r="J30" i="57"/>
  <c r="F39" i="57"/>
  <c r="J42" i="57"/>
  <c r="F43" i="57"/>
  <c r="F46" i="57"/>
  <c r="J54" i="57"/>
  <c r="F56" i="57"/>
  <c r="R18" i="58"/>
  <c r="R21" i="58"/>
  <c r="J24" i="58"/>
  <c r="R33" i="58"/>
  <c r="J34" i="58"/>
  <c r="R38" i="58"/>
  <c r="R41" i="58"/>
  <c r="J42" i="58"/>
  <c r="J52" i="58"/>
  <c r="J56" i="58"/>
  <c r="J16" i="59"/>
  <c r="R18" i="59"/>
  <c r="R21" i="59"/>
  <c r="J24" i="59"/>
  <c r="F25" i="59"/>
  <c r="J36" i="59"/>
  <c r="J40" i="59"/>
  <c r="R45" i="59"/>
  <c r="T16" i="60"/>
  <c r="R18" i="60"/>
  <c r="F24" i="60"/>
  <c r="F30" i="60"/>
  <c r="R35" i="60"/>
  <c r="R36" i="60"/>
  <c r="N14" i="61"/>
  <c r="P44" i="61"/>
  <c r="X16" i="61"/>
  <c r="Z18" i="61"/>
  <c r="Z33" i="61"/>
  <c r="V84" i="62"/>
  <c r="V80" i="62"/>
  <c r="V56" i="62"/>
  <c r="V48" i="62"/>
  <c r="V44" i="62"/>
  <c r="V36" i="62"/>
  <c r="V24" i="62"/>
  <c r="V83" i="62"/>
  <c r="V75" i="62"/>
  <c r="V55" i="62"/>
  <c r="V47" i="62"/>
  <c r="V39" i="62"/>
  <c r="V35" i="62"/>
  <c r="V23" i="62"/>
  <c r="V74" i="62"/>
  <c r="V58" i="62"/>
  <c r="V50" i="62"/>
  <c r="V38" i="62"/>
  <c r="V34" i="62"/>
  <c r="V22" i="62"/>
  <c r="V18" i="62"/>
  <c r="V14" i="62"/>
  <c r="V96" i="62"/>
  <c r="V91" i="62"/>
  <c r="V89" i="62"/>
  <c r="V77" i="62"/>
  <c r="V73" i="62"/>
  <c r="V69" i="62"/>
  <c r="V65" i="62"/>
  <c r="V57" i="62"/>
  <c r="V49" i="62"/>
  <c r="V41" i="62"/>
  <c r="V33" i="62"/>
  <c r="V29" i="62"/>
  <c r="V21" i="62"/>
  <c r="V86" i="62"/>
  <c r="V76" i="62"/>
  <c r="V72" i="62"/>
  <c r="V68" i="62"/>
  <c r="V64" i="62"/>
  <c r="V60" i="62"/>
  <c r="V52" i="62"/>
  <c r="V40" i="62"/>
  <c r="V32" i="62"/>
  <c r="V28" i="62"/>
  <c r="V20" i="62"/>
  <c r="Z12" i="62"/>
  <c r="V79" i="62"/>
  <c r="V71" i="62"/>
  <c r="V67" i="62"/>
  <c r="V63" i="62"/>
  <c r="V59" i="62"/>
  <c r="V51" i="62"/>
  <c r="V43" i="62"/>
  <c r="V31" i="62"/>
  <c r="V27" i="62"/>
  <c r="V19" i="62"/>
  <c r="V93" i="62"/>
  <c r="V87" i="62"/>
  <c r="V81" i="62"/>
  <c r="V61" i="62"/>
  <c r="V53" i="62"/>
  <c r="V45" i="62"/>
  <c r="V37" i="62"/>
  <c r="V25" i="62"/>
  <c r="T16" i="62"/>
  <c r="X16" i="62" s="1"/>
  <c r="V30" i="62"/>
  <c r="N42" i="62"/>
  <c r="V82" i="62"/>
  <c r="Z86" i="62"/>
  <c r="Z21" i="64"/>
  <c r="H12" i="66"/>
  <c r="L13" i="66"/>
  <c r="N13" i="66"/>
  <c r="F26" i="59"/>
  <c r="F30" i="59"/>
  <c r="F34" i="59"/>
  <c r="F37" i="59"/>
  <c r="F41" i="59"/>
  <c r="F49" i="59"/>
  <c r="Z18" i="60"/>
  <c r="N30" i="60"/>
  <c r="X40" i="60"/>
  <c r="Z19" i="61"/>
  <c r="N61" i="64"/>
  <c r="R19" i="61"/>
  <c r="F22" i="61"/>
  <c r="R26" i="61"/>
  <c r="R30" i="61"/>
  <c r="F34" i="61"/>
  <c r="R35" i="61"/>
  <c r="F37" i="61"/>
  <c r="R38" i="61"/>
  <c r="L14" i="62"/>
  <c r="R19" i="62"/>
  <c r="R26" i="62"/>
  <c r="F34" i="62"/>
  <c r="R46" i="62"/>
  <c r="F50" i="62"/>
  <c r="R51" i="62"/>
  <c r="F53" i="62"/>
  <c r="R54" i="62"/>
  <c r="J55" i="62"/>
  <c r="F58" i="62"/>
  <c r="R59" i="62"/>
  <c r="F61" i="62"/>
  <c r="R62" i="62"/>
  <c r="J65" i="62"/>
  <c r="J69" i="62"/>
  <c r="J73" i="62"/>
  <c r="F74" i="62"/>
  <c r="J77" i="62"/>
  <c r="R82" i="62"/>
  <c r="J83" i="62"/>
  <c r="F87" i="62"/>
  <c r="J91" i="62"/>
  <c r="F93" i="62"/>
  <c r="L14" i="64"/>
  <c r="X21" i="64"/>
  <c r="X42" i="64"/>
  <c r="Z42" i="64" s="1"/>
  <c r="L49" i="64"/>
  <c r="L61" i="64"/>
  <c r="X19" i="65"/>
  <c r="Z19" i="65" s="1"/>
  <c r="X121" i="69"/>
  <c r="Z121" i="69" s="1"/>
  <c r="P120" i="69"/>
  <c r="X120" i="69" s="1"/>
  <c r="R20" i="61"/>
  <c r="F28" i="61"/>
  <c r="F32" i="61"/>
  <c r="R33" i="61"/>
  <c r="F35" i="61"/>
  <c r="R36" i="61"/>
  <c r="F40" i="61"/>
  <c r="F46" i="61"/>
  <c r="X12" i="62"/>
  <c r="F19" i="62"/>
  <c r="R20" i="62"/>
  <c r="F24" i="62"/>
  <c r="R28" i="62"/>
  <c r="R32" i="62"/>
  <c r="F36" i="62"/>
  <c r="F48" i="62"/>
  <c r="R49" i="62"/>
  <c r="F51" i="62"/>
  <c r="R52" i="62"/>
  <c r="J53" i="62"/>
  <c r="F56" i="62"/>
  <c r="R57" i="62"/>
  <c r="F59" i="62"/>
  <c r="R60" i="62"/>
  <c r="J61" i="62"/>
  <c r="R64" i="62"/>
  <c r="R68" i="62"/>
  <c r="R72" i="62"/>
  <c r="J75" i="62"/>
  <c r="F84" i="62"/>
  <c r="J87" i="62"/>
  <c r="R89" i="62"/>
  <c r="J93" i="62"/>
  <c r="R96" i="62"/>
  <c r="N13" i="64"/>
  <c r="X18" i="64"/>
  <c r="Z18" i="64" s="1"/>
  <c r="Z20" i="64"/>
  <c r="Z56" i="64"/>
  <c r="X56" i="64"/>
  <c r="X28" i="66"/>
  <c r="L32" i="66"/>
  <c r="X35" i="66"/>
  <c r="Z35" i="66" s="1"/>
  <c r="L16" i="67"/>
  <c r="N39" i="67"/>
  <c r="L39" i="67"/>
  <c r="F42" i="61"/>
  <c r="F48" i="61"/>
  <c r="R29" i="62"/>
  <c r="R33" i="62"/>
  <c r="R38" i="62"/>
  <c r="R41" i="62"/>
  <c r="F45" i="62"/>
  <c r="R65" i="62"/>
  <c r="J66" i="62"/>
  <c r="R69" i="62"/>
  <c r="J70" i="62"/>
  <c r="R73" i="62"/>
  <c r="F76" i="62"/>
  <c r="R77" i="62"/>
  <c r="J78" i="62"/>
  <c r="F81" i="62"/>
  <c r="J84" i="62"/>
  <c r="F86" i="62"/>
  <c r="D89" i="62"/>
  <c r="R91" i="62"/>
  <c r="R39" i="65"/>
  <c r="R32" i="65"/>
  <c r="R24" i="65"/>
  <c r="R27" i="65"/>
  <c r="R18" i="65"/>
  <c r="R14" i="65"/>
  <c r="R20" i="65"/>
  <c r="X12" i="65"/>
  <c r="R25" i="65"/>
  <c r="R16" i="65"/>
  <c r="R21" i="65"/>
  <c r="R36" i="65"/>
  <c r="Z28" i="66"/>
  <c r="N32" i="66"/>
  <c r="N57" i="70"/>
  <c r="L57" i="70"/>
  <c r="D12" i="71"/>
  <c r="L17" i="71"/>
  <c r="N17" i="71" s="1"/>
  <c r="X28" i="71"/>
  <c r="Z28" i="71" s="1"/>
  <c r="L16" i="61"/>
  <c r="R22" i="61"/>
  <c r="F26" i="61"/>
  <c r="R27" i="61"/>
  <c r="F30" i="61"/>
  <c r="R31" i="61"/>
  <c r="F33" i="61"/>
  <c r="R34" i="61"/>
  <c r="J35" i="61"/>
  <c r="F38" i="61"/>
  <c r="R39" i="61"/>
  <c r="J19" i="62"/>
  <c r="R22" i="62"/>
  <c r="J25" i="62"/>
  <c r="F26" i="62"/>
  <c r="R34" i="62"/>
  <c r="J37" i="62"/>
  <c r="J45" i="62"/>
  <c r="F46" i="62"/>
  <c r="R47" i="62"/>
  <c r="F49" i="62"/>
  <c r="R50" i="62"/>
  <c r="J51" i="62"/>
  <c r="F54" i="62"/>
  <c r="R55" i="62"/>
  <c r="F57" i="62"/>
  <c r="R58" i="62"/>
  <c r="J59" i="62"/>
  <c r="F62" i="62"/>
  <c r="R74" i="62"/>
  <c r="J81" i="62"/>
  <c r="F82" i="62"/>
  <c r="R83" i="62"/>
  <c r="F89" i="62"/>
  <c r="F96" i="62"/>
  <c r="X13" i="64"/>
  <c r="Z13" i="64" s="1"/>
  <c r="P12" i="64"/>
  <c r="N58" i="64"/>
  <c r="L58" i="64"/>
  <c r="V18" i="65"/>
  <c r="V14" i="65"/>
  <c r="V36" i="65"/>
  <c r="V30" i="65"/>
  <c r="V20" i="65"/>
  <c r="Z12" i="65"/>
  <c r="V23" i="65"/>
  <c r="V19" i="65"/>
  <c r="V39" i="65"/>
  <c r="V34" i="65"/>
  <c r="V32" i="65"/>
  <c r="V28" i="65"/>
  <c r="V24" i="65"/>
  <c r="L16" i="65"/>
  <c r="L18" i="65"/>
  <c r="N18" i="65" s="1"/>
  <c r="R30" i="65"/>
  <c r="Z20" i="66"/>
  <c r="Z33" i="66"/>
  <c r="N14" i="67"/>
  <c r="H12" i="67"/>
  <c r="Z42" i="69"/>
  <c r="N19" i="70"/>
  <c r="P12" i="71"/>
  <c r="X13" i="71"/>
  <c r="Z14" i="71"/>
  <c r="T12" i="71"/>
  <c r="V24" i="60"/>
  <c r="V28" i="60"/>
  <c r="F14" i="61"/>
  <c r="F18" i="61"/>
  <c r="R23" i="61"/>
  <c r="J26" i="61"/>
  <c r="J30" i="61"/>
  <c r="J38" i="61"/>
  <c r="J42" i="61"/>
  <c r="R44" i="61"/>
  <c r="J48" i="61"/>
  <c r="R51" i="61"/>
  <c r="F14" i="62"/>
  <c r="F18" i="62"/>
  <c r="R23" i="62"/>
  <c r="J26" i="62"/>
  <c r="F27" i="62"/>
  <c r="F31" i="62"/>
  <c r="R35" i="62"/>
  <c r="F38" i="62"/>
  <c r="R39" i="62"/>
  <c r="J40" i="62"/>
  <c r="F43" i="62"/>
  <c r="R44" i="62"/>
  <c r="J46" i="62"/>
  <c r="J54" i="62"/>
  <c r="J62" i="62"/>
  <c r="F63" i="62"/>
  <c r="F67" i="62"/>
  <c r="F71" i="62"/>
  <c r="R75" i="62"/>
  <c r="J76" i="62"/>
  <c r="F79" i="62"/>
  <c r="R80" i="62"/>
  <c r="J82" i="62"/>
  <c r="J86" i="62"/>
  <c r="Z15" i="64"/>
  <c r="X47" i="64"/>
  <c r="Z47" i="64" s="1"/>
  <c r="V21" i="65"/>
  <c r="L24" i="65"/>
  <c r="N24" i="65" s="1"/>
  <c r="R26" i="65"/>
  <c r="R28" i="65"/>
  <c r="P12" i="66"/>
  <c r="L16" i="66"/>
  <c r="Z19" i="66"/>
  <c r="N24" i="66"/>
  <c r="X27" i="66"/>
  <c r="Z27" i="66" s="1"/>
  <c r="L31" i="66"/>
  <c r="N31" i="66" s="1"/>
  <c r="N52" i="66"/>
  <c r="L14" i="67"/>
  <c r="V39" i="67"/>
  <c r="V31" i="67"/>
  <c r="V21" i="67"/>
  <c r="V53" i="67"/>
  <c r="V48" i="67"/>
  <c r="V46" i="67"/>
  <c r="V42" i="67"/>
  <c r="V34" i="67"/>
  <c r="V30" i="67"/>
  <c r="T21" i="67"/>
  <c r="V41" i="67"/>
  <c r="V33" i="67"/>
  <c r="V29" i="67"/>
  <c r="V36" i="67"/>
  <c r="V28" i="67"/>
  <c r="Z12" i="67"/>
  <c r="V35" i="67"/>
  <c r="V27" i="67"/>
  <c r="V23" i="67"/>
  <c r="V19" i="67"/>
  <c r="V38" i="67"/>
  <c r="V32" i="67"/>
  <c r="V25" i="67"/>
  <c r="V18" i="67"/>
  <c r="V40" i="67"/>
  <c r="V26" i="67"/>
  <c r="V50" i="67"/>
  <c r="R32" i="61"/>
  <c r="F36" i="61"/>
  <c r="R37" i="61"/>
  <c r="F39" i="61"/>
  <c r="R40" i="61"/>
  <c r="R46" i="61"/>
  <c r="R24" i="62"/>
  <c r="F28" i="62"/>
  <c r="F32" i="62"/>
  <c r="R36" i="62"/>
  <c r="F47" i="62"/>
  <c r="R48" i="62"/>
  <c r="J49" i="62"/>
  <c r="F52" i="62"/>
  <c r="R53" i="62"/>
  <c r="F55" i="62"/>
  <c r="R56" i="62"/>
  <c r="J57" i="62"/>
  <c r="F60" i="62"/>
  <c r="R61" i="62"/>
  <c r="J63" i="62"/>
  <c r="F64" i="62"/>
  <c r="J67" i="62"/>
  <c r="F68" i="62"/>
  <c r="J71" i="62"/>
  <c r="F72" i="62"/>
  <c r="J79" i="62"/>
  <c r="F83" i="62"/>
  <c r="R84" i="62"/>
  <c r="R87" i="62"/>
  <c r="J89" i="62"/>
  <c r="R93" i="62"/>
  <c r="J96" i="62"/>
  <c r="N21" i="64"/>
  <c r="D36" i="65"/>
  <c r="R34" i="65"/>
  <c r="T12" i="66"/>
  <c r="D12" i="66"/>
  <c r="N16" i="66"/>
  <c r="N23" i="66"/>
  <c r="P12" i="69"/>
  <c r="X18" i="69"/>
  <c r="X41" i="69"/>
  <c r="Z41" i="69" s="1"/>
  <c r="V16" i="60"/>
  <c r="V26" i="60"/>
  <c r="V38" i="60"/>
  <c r="V42" i="60"/>
  <c r="V44" i="60"/>
  <c r="N12" i="61"/>
  <c r="J14" i="61"/>
  <c r="R16" i="61"/>
  <c r="J18" i="61"/>
  <c r="J20" i="61"/>
  <c r="F21" i="61"/>
  <c r="R25" i="61"/>
  <c r="F44" i="61"/>
  <c r="N12" i="62"/>
  <c r="J14" i="62"/>
  <c r="R16" i="62"/>
  <c r="J18" i="62"/>
  <c r="J20" i="62"/>
  <c r="F21" i="62"/>
  <c r="R25" i="62"/>
  <c r="J28" i="62"/>
  <c r="F29" i="62"/>
  <c r="R30" i="62"/>
  <c r="J32" i="62"/>
  <c r="F33" i="62"/>
  <c r="R37" i="62"/>
  <c r="J38" i="62"/>
  <c r="F41" i="62"/>
  <c r="R42" i="62"/>
  <c r="F44" i="62"/>
  <c r="R45" i="62"/>
  <c r="J52" i="62"/>
  <c r="J60" i="62"/>
  <c r="J64" i="62"/>
  <c r="F65" i="62"/>
  <c r="R66" i="62"/>
  <c r="J68" i="62"/>
  <c r="F69" i="62"/>
  <c r="R70" i="62"/>
  <c r="F73" i="62"/>
  <c r="F77" i="62"/>
  <c r="R78" i="62"/>
  <c r="F80" i="62"/>
  <c r="L17" i="64"/>
  <c r="L14" i="65"/>
  <c r="P16" i="65"/>
  <c r="Z18" i="65"/>
  <c r="R19" i="65"/>
  <c r="H32" i="65"/>
  <c r="L32" i="65" s="1"/>
  <c r="N15" i="66"/>
  <c r="Z17" i="66"/>
  <c r="L23" i="66"/>
  <c r="N29" i="66"/>
  <c r="Z63" i="66"/>
  <c r="Z75" i="66"/>
  <c r="Z18" i="69"/>
  <c r="L38" i="69"/>
  <c r="N38" i="69" s="1"/>
  <c r="N24" i="72"/>
  <c r="L24" i="72"/>
  <c r="N12" i="65"/>
  <c r="J14" i="65"/>
  <c r="J18" i="65"/>
  <c r="J20" i="65"/>
  <c r="F24" i="65"/>
  <c r="F32" i="65"/>
  <c r="F39" i="65"/>
  <c r="N71" i="66"/>
  <c r="Z77" i="66"/>
  <c r="L81" i="66"/>
  <c r="N83" i="66"/>
  <c r="X90" i="66"/>
  <c r="Z90" i="66" s="1"/>
  <c r="L96" i="66"/>
  <c r="D12" i="67"/>
  <c r="X35" i="67"/>
  <c r="Z35" i="67" s="1"/>
  <c r="H12" i="69"/>
  <c r="D12" i="69"/>
  <c r="N15" i="69"/>
  <c r="X19" i="69"/>
  <c r="Z19" i="69" s="1"/>
  <c r="X43" i="69"/>
  <c r="Z43" i="69" s="1"/>
  <c r="V59" i="70"/>
  <c r="N27" i="71"/>
  <c r="F19" i="65"/>
  <c r="J21" i="65"/>
  <c r="F28" i="65"/>
  <c r="F34" i="65"/>
  <c r="N63" i="66"/>
  <c r="P99" i="66"/>
  <c r="X16" i="67"/>
  <c r="N24" i="67"/>
  <c r="N23" i="69"/>
  <c r="Z27" i="69"/>
  <c r="N47" i="69"/>
  <c r="X51" i="69"/>
  <c r="Z51" i="69" s="1"/>
  <c r="Z15" i="70"/>
  <c r="V36" i="70"/>
  <c r="Z13" i="71"/>
  <c r="Z23" i="71"/>
  <c r="R31" i="75"/>
  <c r="R21" i="75"/>
  <c r="R25" i="75"/>
  <c r="R20" i="75"/>
  <c r="R19" i="75"/>
  <c r="R18" i="75"/>
  <c r="R23" i="75"/>
  <c r="P23" i="75"/>
  <c r="F25" i="65"/>
  <c r="J28" i="65"/>
  <c r="F30" i="65"/>
  <c r="J34" i="65"/>
  <c r="F36" i="65"/>
  <c r="Z71" i="66"/>
  <c r="Z81" i="66"/>
  <c r="N93" i="66"/>
  <c r="Z100" i="66"/>
  <c r="T99" i="66"/>
  <c r="Z18" i="67"/>
  <c r="N37" i="67"/>
  <c r="Z26" i="69"/>
  <c r="V46" i="70"/>
  <c r="N69" i="70"/>
  <c r="F22" i="65"/>
  <c r="F26" i="65"/>
  <c r="L77" i="66"/>
  <c r="N77" i="66" s="1"/>
  <c r="X83" i="66"/>
  <c r="Z83" i="66" s="1"/>
  <c r="X101" i="66"/>
  <c r="P12" i="67"/>
  <c r="Z16" i="67"/>
  <c r="X23" i="67"/>
  <c r="Z23" i="67" s="1"/>
  <c r="L22" i="69"/>
  <c r="N22" i="69" s="1"/>
  <c r="X25" i="69"/>
  <c r="X26" i="69"/>
  <c r="L46" i="69"/>
  <c r="N46" i="69" s="1"/>
  <c r="Z50" i="69"/>
  <c r="N92" i="69"/>
  <c r="Z22" i="71"/>
  <c r="L33" i="71"/>
  <c r="N33" i="71" s="1"/>
  <c r="Z48" i="71"/>
  <c r="X48" i="71"/>
  <c r="F14" i="65"/>
  <c r="F18" i="65"/>
  <c r="J22" i="65"/>
  <c r="J26" i="65"/>
  <c r="J30" i="65"/>
  <c r="X79" i="66"/>
  <c r="Z79" i="66" s="1"/>
  <c r="Z93" i="66"/>
  <c r="L100" i="66"/>
  <c r="N100" i="66" s="1"/>
  <c r="D99" i="66"/>
  <c r="L99" i="66" s="1"/>
  <c r="N99" i="66" s="1"/>
  <c r="Z37" i="67"/>
  <c r="N30" i="69"/>
  <c r="Z35" i="69"/>
  <c r="Z99" i="69"/>
  <c r="X99" i="69"/>
  <c r="Z102" i="69"/>
  <c r="P12" i="70"/>
  <c r="X13" i="70"/>
  <c r="Z13" i="70" s="1"/>
  <c r="Z14" i="70"/>
  <c r="Z39" i="70"/>
  <c r="X39" i="70"/>
  <c r="V45" i="70"/>
  <c r="X29" i="71"/>
  <c r="Z34" i="69"/>
  <c r="V48" i="70"/>
  <c r="V32" i="70"/>
  <c r="V73" i="70"/>
  <c r="V51" i="70"/>
  <c r="V47" i="70"/>
  <c r="V31" i="70"/>
  <c r="V62" i="70"/>
  <c r="V54" i="70"/>
  <c r="V50" i="70"/>
  <c r="V42" i="70"/>
  <c r="V38" i="70"/>
  <c r="V30" i="70"/>
  <c r="V61" i="70"/>
  <c r="V53" i="70"/>
  <c r="V49" i="70"/>
  <c r="V41" i="70"/>
  <c r="V37" i="70"/>
  <c r="V27" i="70"/>
  <c r="V64" i="70"/>
  <c r="V60" i="70"/>
  <c r="V56" i="70"/>
  <c r="V52" i="70"/>
  <c r="V55" i="70"/>
  <c r="V44" i="70"/>
  <c r="V33" i="70"/>
  <c r="V34" i="70"/>
  <c r="V69" i="70"/>
  <c r="V63" i="70"/>
  <c r="V57" i="70"/>
  <c r="V35" i="70"/>
  <c r="V58" i="70"/>
  <c r="V25" i="70"/>
  <c r="V29" i="70"/>
  <c r="V39" i="70"/>
  <c r="X52" i="70"/>
  <c r="Z52" i="70" s="1"/>
  <c r="Z29" i="71"/>
  <c r="T12" i="69"/>
  <c r="N76" i="69"/>
  <c r="N77" i="69"/>
  <c r="L102" i="69"/>
  <c r="N18" i="70"/>
  <c r="Z63" i="70"/>
  <c r="X63" i="70"/>
  <c r="T68" i="70"/>
  <c r="T71" i="70" s="1"/>
  <c r="X69" i="70"/>
  <c r="Z69" i="70" s="1"/>
  <c r="N18" i="71"/>
  <c r="Z21" i="71"/>
  <c r="N26" i="71"/>
  <c r="J33" i="71"/>
  <c r="J55" i="71"/>
  <c r="D12" i="75"/>
  <c r="L13" i="75"/>
  <c r="N14" i="75"/>
  <c r="X76" i="69"/>
  <c r="Z76" i="69" s="1"/>
  <c r="L99" i="69"/>
  <c r="D120" i="69"/>
  <c r="L120" i="69" s="1"/>
  <c r="Z122" i="69"/>
  <c r="Z21" i="70"/>
  <c r="L39" i="70"/>
  <c r="N43" i="70"/>
  <c r="X68" i="70"/>
  <c r="J54" i="71"/>
  <c r="Z59" i="71"/>
  <c r="Z66" i="71"/>
  <c r="F62" i="73"/>
  <c r="F56" i="73"/>
  <c r="F43" i="73"/>
  <c r="F40" i="73"/>
  <c r="F35" i="73"/>
  <c r="F31" i="73"/>
  <c r="F24" i="73"/>
  <c r="F46" i="73"/>
  <c r="F23" i="73"/>
  <c r="F53" i="73"/>
  <c r="F42" i="73"/>
  <c r="F37" i="73"/>
  <c r="F34" i="73"/>
  <c r="F30" i="73"/>
  <c r="F21" i="73"/>
  <c r="F67" i="73"/>
  <c r="F60" i="73"/>
  <c r="F48" i="73"/>
  <c r="F45" i="73"/>
  <c r="F33" i="73"/>
  <c r="F29" i="73"/>
  <c r="F16" i="73"/>
  <c r="F55" i="73"/>
  <c r="F52" i="73"/>
  <c r="F44" i="73"/>
  <c r="F39" i="73"/>
  <c r="F36" i="73"/>
  <c r="F32" i="73"/>
  <c r="F28" i="73"/>
  <c r="L12" i="73"/>
  <c r="N12" i="73" s="1"/>
  <c r="F51" i="73"/>
  <c r="F47" i="73"/>
  <c r="F27" i="73"/>
  <c r="F22" i="73"/>
  <c r="F58" i="73"/>
  <c r="F25" i="73"/>
  <c r="F54" i="73"/>
  <c r="F50" i="73"/>
  <c r="F41" i="73"/>
  <c r="F19" i="73"/>
  <c r="F26" i="73"/>
  <c r="D19" i="73"/>
  <c r="F64" i="73"/>
  <c r="F38" i="73"/>
  <c r="N48" i="76"/>
  <c r="N102" i="69"/>
  <c r="D12" i="70"/>
  <c r="X55" i="70"/>
  <c r="Z55" i="70" s="1"/>
  <c r="N65" i="70"/>
  <c r="L65" i="70"/>
  <c r="F34" i="72"/>
  <c r="D18" i="72"/>
  <c r="F16" i="72"/>
  <c r="F26" i="72"/>
  <c r="F23" i="72"/>
  <c r="F15" i="72"/>
  <c r="F22" i="72"/>
  <c r="F39" i="72"/>
  <c r="F32" i="72"/>
  <c r="F25" i="72"/>
  <c r="F20" i="72"/>
  <c r="F29" i="72"/>
  <c r="L12" i="72"/>
  <c r="F27" i="72"/>
  <c r="F14" i="72"/>
  <c r="F24" i="72"/>
  <c r="F18" i="72"/>
  <c r="F21" i="72"/>
  <c r="F30" i="72"/>
  <c r="F59" i="79"/>
  <c r="F56" i="79"/>
  <c r="F52" i="79"/>
  <c r="F43" i="79"/>
  <c r="F40" i="79"/>
  <c r="F28" i="79"/>
  <c r="F23" i="79"/>
  <c r="L12" i="79"/>
  <c r="F55" i="79"/>
  <c r="F51" i="79"/>
  <c r="F46" i="79"/>
  <c r="F27" i="79"/>
  <c r="F20" i="79"/>
  <c r="F58" i="79"/>
  <c r="F54" i="79"/>
  <c r="F42" i="79"/>
  <c r="F37" i="79"/>
  <c r="F26" i="79"/>
  <c r="D20" i="79"/>
  <c r="F18" i="79"/>
  <c r="F62" i="79"/>
  <c r="F48" i="79"/>
  <c r="F45" i="79"/>
  <c r="F32" i="79"/>
  <c r="F25" i="79"/>
  <c r="F17" i="79"/>
  <c r="F66" i="79"/>
  <c r="F60" i="79"/>
  <c r="F44" i="79"/>
  <c r="F39" i="79"/>
  <c r="F36" i="79"/>
  <c r="F24" i="79"/>
  <c r="F50" i="79"/>
  <c r="F47" i="79"/>
  <c r="F35" i="79"/>
  <c r="F31" i="79"/>
  <c r="F22" i="79"/>
  <c r="F57" i="79"/>
  <c r="F53" i="79"/>
  <c r="F41" i="79"/>
  <c r="F38" i="79"/>
  <c r="F34" i="79"/>
  <c r="F30" i="79"/>
  <c r="F49" i="79"/>
  <c r="F16" i="79"/>
  <c r="F29" i="79"/>
  <c r="N99" i="69"/>
  <c r="H12" i="70"/>
  <c r="L15" i="70"/>
  <c r="N15" i="70" s="1"/>
  <c r="N39" i="70"/>
  <c r="L69" i="70"/>
  <c r="D68" i="70"/>
  <c r="J86" i="71"/>
  <c r="J74" i="71"/>
  <c r="J80" i="71"/>
  <c r="J76" i="71"/>
  <c r="J87" i="71"/>
  <c r="J79" i="71"/>
  <c r="J73" i="71"/>
  <c r="J72" i="71"/>
  <c r="J70" i="71"/>
  <c r="J64" i="71"/>
  <c r="J59" i="71"/>
  <c r="J53" i="71"/>
  <c r="H46" i="71"/>
  <c r="J37" i="71"/>
  <c r="J69" i="71"/>
  <c r="J66" i="71"/>
  <c r="J52" i="71"/>
  <c r="J44" i="71"/>
  <c r="J36" i="71"/>
  <c r="J91" i="71"/>
  <c r="J85" i="71"/>
  <c r="J63" i="71"/>
  <c r="J51" i="71"/>
  <c r="J43" i="71"/>
  <c r="J35" i="71"/>
  <c r="J81" i="71"/>
  <c r="J68" i="71"/>
  <c r="J62" i="71"/>
  <c r="J58" i="71"/>
  <c r="J50" i="71"/>
  <c r="J48" i="71"/>
  <c r="J42" i="71"/>
  <c r="J34" i="71"/>
  <c r="J82" i="71"/>
  <c r="J75" i="71"/>
  <c r="J65" i="71"/>
  <c r="J61" i="71"/>
  <c r="J57" i="71"/>
  <c r="J41" i="71"/>
  <c r="J40" i="71"/>
  <c r="N49" i="71"/>
  <c r="J67" i="71"/>
  <c r="J78" i="71"/>
  <c r="L29" i="70"/>
  <c r="N29" i="70" s="1"/>
  <c r="Z43" i="70"/>
  <c r="N48" i="71"/>
  <c r="J49" i="71"/>
  <c r="J60" i="71"/>
  <c r="F36" i="72"/>
  <c r="Z41" i="73"/>
  <c r="J63" i="76"/>
  <c r="J59" i="76"/>
  <c r="J55" i="76"/>
  <c r="J72" i="76"/>
  <c r="J66" i="76"/>
  <c r="J62" i="76"/>
  <c r="J61" i="76"/>
  <c r="J57" i="76"/>
  <c r="J53" i="76"/>
  <c r="J64" i="76"/>
  <c r="J50" i="76"/>
  <c r="J36" i="76"/>
  <c r="J32" i="76"/>
  <c r="J28" i="76"/>
  <c r="J20" i="76"/>
  <c r="N12" i="76"/>
  <c r="J68" i="76"/>
  <c r="J47" i="76"/>
  <c r="J41" i="76"/>
  <c r="J27" i="76"/>
  <c r="H20" i="76"/>
  <c r="J44" i="76"/>
  <c r="J38" i="76"/>
  <c r="J26" i="76"/>
  <c r="J18" i="76"/>
  <c r="J58" i="76"/>
  <c r="J49" i="76"/>
  <c r="J35" i="76"/>
  <c r="J31" i="76"/>
  <c r="J25" i="76"/>
  <c r="J17" i="76"/>
  <c r="J60" i="76"/>
  <c r="J54" i="76"/>
  <c r="J46" i="76"/>
  <c r="J40" i="76"/>
  <c r="J24" i="76"/>
  <c r="J22" i="76"/>
  <c r="J56" i="76"/>
  <c r="J43" i="76"/>
  <c r="J37" i="76"/>
  <c r="J70" i="76"/>
  <c r="J39" i="76"/>
  <c r="J29" i="76"/>
  <c r="J16" i="76"/>
  <c r="J75" i="76"/>
  <c r="J51" i="76"/>
  <c r="J45" i="76"/>
  <c r="J33" i="76"/>
  <c r="J30" i="76"/>
  <c r="J52" i="76"/>
  <c r="J34" i="76"/>
  <c r="J42" i="76"/>
  <c r="J48" i="76"/>
  <c r="J23" i="76"/>
  <c r="Z14" i="72"/>
  <c r="X14" i="72"/>
  <c r="N43" i="73"/>
  <c r="H42" i="74"/>
  <c r="N28" i="74"/>
  <c r="Z16" i="82"/>
  <c r="T32" i="82"/>
  <c r="N30" i="72"/>
  <c r="H29" i="72"/>
  <c r="R22" i="73"/>
  <c r="R29" i="73"/>
  <c r="J43" i="73"/>
  <c r="F36" i="74"/>
  <c r="F24" i="74"/>
  <c r="F17" i="74"/>
  <c r="F46" i="74"/>
  <c r="F40" i="74"/>
  <c r="F30" i="74"/>
  <c r="F27" i="74"/>
  <c r="F23" i="74"/>
  <c r="D17" i="74"/>
  <c r="F15" i="74"/>
  <c r="F44" i="74"/>
  <c r="F38" i="74"/>
  <c r="F22" i="74"/>
  <c r="F32" i="74"/>
  <c r="F29" i="74"/>
  <c r="F21" i="74"/>
  <c r="F35" i="74"/>
  <c r="F19" i="74"/>
  <c r="L12" i="74"/>
  <c r="F49" i="74"/>
  <c r="F42" i="74"/>
  <c r="F31" i="74"/>
  <c r="F26" i="74"/>
  <c r="F14" i="74"/>
  <c r="X16" i="75"/>
  <c r="Z16" i="75" s="1"/>
  <c r="V37" i="76"/>
  <c r="V58" i="76"/>
  <c r="L23" i="79"/>
  <c r="Z22" i="73"/>
  <c r="L31" i="73"/>
  <c r="Z14" i="74"/>
  <c r="F33" i="74"/>
  <c r="Z35" i="74"/>
  <c r="F37" i="74"/>
  <c r="T12" i="75"/>
  <c r="P12" i="76"/>
  <c r="L16" i="76"/>
  <c r="V18" i="76"/>
  <c r="X22" i="76"/>
  <c r="N21" i="80"/>
  <c r="H68" i="70"/>
  <c r="L84" i="71"/>
  <c r="L87" i="71"/>
  <c r="N87" i="71" s="1"/>
  <c r="H84" i="71"/>
  <c r="J84" i="71" s="1"/>
  <c r="N31" i="73"/>
  <c r="L20" i="74"/>
  <c r="Z28" i="74"/>
  <c r="V61" i="76"/>
  <c r="V75" i="76"/>
  <c r="V70" i="76"/>
  <c r="V68" i="76"/>
  <c r="V63" i="76"/>
  <c r="V59" i="76"/>
  <c r="V55" i="76"/>
  <c r="V51" i="76"/>
  <c r="V54" i="76"/>
  <c r="V53" i="76"/>
  <c r="V48" i="76"/>
  <c r="V40" i="76"/>
  <c r="V24" i="76"/>
  <c r="V16" i="76"/>
  <c r="V60" i="76"/>
  <c r="V43" i="76"/>
  <c r="V39" i="76"/>
  <c r="V23" i="76"/>
  <c r="V56" i="76"/>
  <c r="V50" i="76"/>
  <c r="V42" i="76"/>
  <c r="V34" i="76"/>
  <c r="V30" i="76"/>
  <c r="V20" i="76"/>
  <c r="V66" i="76"/>
  <c r="V52" i="76"/>
  <c r="V45" i="76"/>
  <c r="V41" i="76"/>
  <c r="V33" i="76"/>
  <c r="V29" i="76"/>
  <c r="T20" i="76"/>
  <c r="V62" i="76"/>
  <c r="V44" i="76"/>
  <c r="V36" i="76"/>
  <c r="V32" i="76"/>
  <c r="V28" i="76"/>
  <c r="Z12" i="76"/>
  <c r="V64" i="76"/>
  <c r="V47" i="76"/>
  <c r="V35" i="76"/>
  <c r="V31" i="76"/>
  <c r="V27" i="76"/>
  <c r="N16" i="76"/>
  <c r="Z22" i="76"/>
  <c r="X31" i="76"/>
  <c r="X35" i="76"/>
  <c r="T29" i="78"/>
  <c r="V25" i="78"/>
  <c r="X68" i="71"/>
  <c r="P84" i="71"/>
  <c r="X84" i="71" s="1"/>
  <c r="X86" i="71"/>
  <c r="X21" i="72"/>
  <c r="R52" i="73"/>
  <c r="R44" i="73"/>
  <c r="R41" i="73"/>
  <c r="R36" i="73"/>
  <c r="R32" i="73"/>
  <c r="R28" i="73"/>
  <c r="R19" i="73"/>
  <c r="R64" i="73"/>
  <c r="R58" i="73"/>
  <c r="R51" i="73"/>
  <c r="R47" i="73"/>
  <c r="R27" i="73"/>
  <c r="P19" i="73"/>
  <c r="R54" i="73"/>
  <c r="R50" i="73"/>
  <c r="R43" i="73"/>
  <c r="R38" i="73"/>
  <c r="R35" i="73"/>
  <c r="R31" i="73"/>
  <c r="R26" i="73"/>
  <c r="R49" i="73"/>
  <c r="R46" i="73"/>
  <c r="R25" i="73"/>
  <c r="R17" i="73"/>
  <c r="R62" i="73"/>
  <c r="R56" i="73"/>
  <c r="R53" i="73"/>
  <c r="R40" i="73"/>
  <c r="R37" i="73"/>
  <c r="R24" i="73"/>
  <c r="R21" i="73"/>
  <c r="R67" i="73"/>
  <c r="R60" i="73"/>
  <c r="R48" i="73"/>
  <c r="R23" i="73"/>
  <c r="R16" i="73"/>
  <c r="T12" i="73"/>
  <c r="X12" i="73" s="1"/>
  <c r="Z14" i="73"/>
  <c r="J31" i="73"/>
  <c r="N35" i="73"/>
  <c r="Z39" i="73"/>
  <c r="R42" i="73"/>
  <c r="L58" i="73"/>
  <c r="F20" i="74"/>
  <c r="F25" i="74"/>
  <c r="X37" i="74"/>
  <c r="Z37" i="74" s="1"/>
  <c r="H12" i="75"/>
  <c r="L25" i="75"/>
  <c r="V17" i="76"/>
  <c r="V22" i="76"/>
  <c r="L37" i="76"/>
  <c r="X46" i="76"/>
  <c r="V57" i="76"/>
  <c r="L63" i="76"/>
  <c r="Z84" i="71"/>
  <c r="Z87" i="71"/>
  <c r="H32" i="72"/>
  <c r="N18" i="72"/>
  <c r="X26" i="74"/>
  <c r="Z26" i="74" s="1"/>
  <c r="Z31" i="76"/>
  <c r="Z46" i="76"/>
  <c r="V91" i="77"/>
  <c r="V85" i="77"/>
  <c r="V73" i="77"/>
  <c r="V69" i="77"/>
  <c r="V61" i="77"/>
  <c r="V53" i="77"/>
  <c r="V41" i="77"/>
  <c r="V33" i="77"/>
  <c r="V84" i="77"/>
  <c r="V72" i="77"/>
  <c r="V64" i="77"/>
  <c r="V56" i="77"/>
  <c r="V52" i="77"/>
  <c r="V48" i="77"/>
  <c r="V40" i="77"/>
  <c r="V79" i="77"/>
  <c r="V75" i="77"/>
  <c r="V71" i="77"/>
  <c r="V63" i="77"/>
  <c r="V55" i="77"/>
  <c r="V51" i="77"/>
  <c r="V47" i="77"/>
  <c r="V37" i="77"/>
  <c r="V78" i="77"/>
  <c r="V74" i="77"/>
  <c r="V66" i="77"/>
  <c r="V58" i="77"/>
  <c r="V50" i="77"/>
  <c r="V46" i="77"/>
  <c r="T37" i="77"/>
  <c r="V87" i="77"/>
  <c r="V81" i="77"/>
  <c r="V77" i="77"/>
  <c r="V65" i="77"/>
  <c r="V57" i="77"/>
  <c r="V49" i="77"/>
  <c r="V45" i="77"/>
  <c r="V80" i="77"/>
  <c r="V76" i="77"/>
  <c r="V83" i="77"/>
  <c r="V67" i="77"/>
  <c r="V59" i="77"/>
  <c r="V43" i="77"/>
  <c r="V39" i="77"/>
  <c r="V35" i="77"/>
  <c r="V68" i="77"/>
  <c r="V62" i="77"/>
  <c r="V54" i="77"/>
  <c r="V70" i="77"/>
  <c r="V44" i="77"/>
  <c r="V82" i="77"/>
  <c r="V34" i="77"/>
  <c r="V60" i="77"/>
  <c r="X22" i="77"/>
  <c r="Z22" i="77" s="1"/>
  <c r="L24" i="77"/>
  <c r="N24" i="77" s="1"/>
  <c r="V14" i="72"/>
  <c r="R15" i="72"/>
  <c r="J18" i="72"/>
  <c r="R20" i="72"/>
  <c r="V22" i="72"/>
  <c r="R23" i="72"/>
  <c r="J24" i="72"/>
  <c r="J30" i="72"/>
  <c r="R32" i="72"/>
  <c r="J36" i="72"/>
  <c r="R39" i="72"/>
  <c r="H19" i="73"/>
  <c r="J26" i="73"/>
  <c r="J38" i="73"/>
  <c r="J50" i="73"/>
  <c r="J54" i="73"/>
  <c r="J58" i="73"/>
  <c r="V14" i="74"/>
  <c r="R15" i="74"/>
  <c r="J20" i="74"/>
  <c r="V22" i="74"/>
  <c r="R23" i="74"/>
  <c r="V26" i="74"/>
  <c r="R27" i="74"/>
  <c r="J28" i="74"/>
  <c r="R32" i="74"/>
  <c r="J34" i="74"/>
  <c r="V38" i="74"/>
  <c r="V42" i="74"/>
  <c r="V44" i="74"/>
  <c r="V49" i="74"/>
  <c r="X50" i="76"/>
  <c r="Z50" i="76" s="1"/>
  <c r="Z15" i="77"/>
  <c r="L18" i="77"/>
  <c r="N18" i="77" s="1"/>
  <c r="Z19" i="77"/>
  <c r="Z57" i="77"/>
  <c r="L59" i="77"/>
  <c r="Z67" i="77"/>
  <c r="Z82" i="77"/>
  <c r="N22" i="79"/>
  <c r="J40" i="79"/>
  <c r="X41" i="79"/>
  <c r="L43" i="79"/>
  <c r="N57" i="79"/>
  <c r="P32" i="80"/>
  <c r="V15" i="72"/>
  <c r="R16" i="72"/>
  <c r="J21" i="72"/>
  <c r="V23" i="72"/>
  <c r="J27" i="72"/>
  <c r="V29" i="72"/>
  <c r="R34" i="72"/>
  <c r="J19" i="73"/>
  <c r="J27" i="73"/>
  <c r="J41" i="73"/>
  <c r="J47" i="73"/>
  <c r="J51" i="73"/>
  <c r="V15" i="74"/>
  <c r="V19" i="74"/>
  <c r="V23" i="74"/>
  <c r="R24" i="74"/>
  <c r="V27" i="74"/>
  <c r="J31" i="74"/>
  <c r="V35" i="74"/>
  <c r="R36" i="74"/>
  <c r="J37" i="74"/>
  <c r="N61" i="76"/>
  <c r="X30" i="77"/>
  <c r="Z30" i="77" s="1"/>
  <c r="N33" i="77"/>
  <c r="F41" i="77"/>
  <c r="N59" i="77"/>
  <c r="N63" i="77"/>
  <c r="F73" i="77"/>
  <c r="N43" i="79"/>
  <c r="N59" i="79"/>
  <c r="L59" i="79"/>
  <c r="N23" i="80"/>
  <c r="L23" i="80"/>
  <c r="N12" i="72"/>
  <c r="J14" i="72"/>
  <c r="V16" i="72"/>
  <c r="V20" i="72"/>
  <c r="R26" i="72"/>
  <c r="V32" i="72"/>
  <c r="V34" i="72"/>
  <c r="V39" i="72"/>
  <c r="J22" i="73"/>
  <c r="J28" i="73"/>
  <c r="J32" i="73"/>
  <c r="J36" i="73"/>
  <c r="J44" i="73"/>
  <c r="J52" i="73"/>
  <c r="N12" i="74"/>
  <c r="J14" i="74"/>
  <c r="P17" i="74"/>
  <c r="V24" i="74"/>
  <c r="R25" i="74"/>
  <c r="J26" i="74"/>
  <c r="R30" i="74"/>
  <c r="V32" i="74"/>
  <c r="R33" i="74"/>
  <c r="V36" i="74"/>
  <c r="R40" i="74"/>
  <c r="J42" i="74"/>
  <c r="R46" i="74"/>
  <c r="J49" i="74"/>
  <c r="D12" i="76"/>
  <c r="P12" i="77"/>
  <c r="X14" i="77"/>
  <c r="Z14" i="77" s="1"/>
  <c r="R27" i="78"/>
  <c r="R17" i="78"/>
  <c r="R21" i="78"/>
  <c r="R16" i="78"/>
  <c r="R15" i="78"/>
  <c r="R23" i="78"/>
  <c r="X12" i="78"/>
  <c r="Z12" i="78" s="1"/>
  <c r="P19" i="78"/>
  <c r="J55" i="79"/>
  <c r="J51" i="79"/>
  <c r="J37" i="79"/>
  <c r="J27" i="79"/>
  <c r="H20" i="79"/>
  <c r="J68" i="79"/>
  <c r="J62" i="79"/>
  <c r="J58" i="79"/>
  <c r="J54" i="79"/>
  <c r="J48" i="79"/>
  <c r="J42" i="79"/>
  <c r="J32" i="79"/>
  <c r="J26" i="79"/>
  <c r="J18" i="79"/>
  <c r="J45" i="79"/>
  <c r="J39" i="79"/>
  <c r="J25" i="79"/>
  <c r="J17" i="79"/>
  <c r="J66" i="79"/>
  <c r="J60" i="79"/>
  <c r="J50" i="79"/>
  <c r="J44" i="79"/>
  <c r="J36" i="79"/>
  <c r="J24" i="79"/>
  <c r="J22" i="79"/>
  <c r="J57" i="79"/>
  <c r="J53" i="79"/>
  <c r="J47" i="79"/>
  <c r="J41" i="79"/>
  <c r="J35" i="79"/>
  <c r="J31" i="79"/>
  <c r="J71" i="79"/>
  <c r="J64" i="79"/>
  <c r="J38" i="79"/>
  <c r="J34" i="79"/>
  <c r="J30" i="79"/>
  <c r="J16" i="79"/>
  <c r="J59" i="79"/>
  <c r="J49" i="79"/>
  <c r="J43" i="79"/>
  <c r="J33" i="79"/>
  <c r="J29" i="79"/>
  <c r="J23" i="79"/>
  <c r="J28" i="79"/>
  <c r="X57" i="79"/>
  <c r="Z57" i="79" s="1"/>
  <c r="X21" i="80"/>
  <c r="Z21" i="80" s="1"/>
  <c r="T70" i="81"/>
  <c r="L19" i="81"/>
  <c r="N19" i="81" s="1"/>
  <c r="P18" i="72"/>
  <c r="J25" i="72"/>
  <c r="J29" i="72"/>
  <c r="J29" i="73"/>
  <c r="J33" i="73"/>
  <c r="J39" i="73"/>
  <c r="J45" i="73"/>
  <c r="J55" i="73"/>
  <c r="R17" i="74"/>
  <c r="J19" i="74"/>
  <c r="J21" i="74"/>
  <c r="V25" i="74"/>
  <c r="J29" i="74"/>
  <c r="V33" i="74"/>
  <c r="R34" i="74"/>
  <c r="J35" i="74"/>
  <c r="N39" i="77"/>
  <c r="X49" i="77"/>
  <c r="Z59" i="77"/>
  <c r="Z74" i="77"/>
  <c r="Z43" i="79"/>
  <c r="N50" i="79"/>
  <c r="Z23" i="80"/>
  <c r="X27" i="82"/>
  <c r="Z27" i="82" s="1"/>
  <c r="V26" i="72"/>
  <c r="R27" i="72"/>
  <c r="R30" i="72"/>
  <c r="J32" i="72"/>
  <c r="R36" i="72"/>
  <c r="J39" i="72"/>
  <c r="J30" i="73"/>
  <c r="J34" i="73"/>
  <c r="J42" i="73"/>
  <c r="J48" i="73"/>
  <c r="T17" i="74"/>
  <c r="V30" i="74"/>
  <c r="R31" i="74"/>
  <c r="J32" i="74"/>
  <c r="V34" i="74"/>
  <c r="J38" i="74"/>
  <c r="V40" i="74"/>
  <c r="J44" i="74"/>
  <c r="V46" i="74"/>
  <c r="F78" i="77"/>
  <c r="F69" i="77"/>
  <c r="F66" i="77"/>
  <c r="F61" i="77"/>
  <c r="F58" i="77"/>
  <c r="F50" i="77"/>
  <c r="F46" i="77"/>
  <c r="F33" i="77"/>
  <c r="F84" i="77"/>
  <c r="F81" i="77"/>
  <c r="F77" i="77"/>
  <c r="F45" i="77"/>
  <c r="F40" i="77"/>
  <c r="F71" i="77"/>
  <c r="F68" i="77"/>
  <c r="F63" i="77"/>
  <c r="F60" i="77"/>
  <c r="F55" i="77"/>
  <c r="F44" i="77"/>
  <c r="F37" i="77"/>
  <c r="F83" i="77"/>
  <c r="F74" i="77"/>
  <c r="F43" i="77"/>
  <c r="D37" i="77"/>
  <c r="F35" i="77"/>
  <c r="F87" i="77"/>
  <c r="F70" i="77"/>
  <c r="F65" i="77"/>
  <c r="F62" i="77"/>
  <c r="F57" i="77"/>
  <c r="F54" i="77"/>
  <c r="F49" i="77"/>
  <c r="F42" i="77"/>
  <c r="F34" i="77"/>
  <c r="F91" i="77"/>
  <c r="F85" i="77"/>
  <c r="F80" i="77"/>
  <c r="F76" i="77"/>
  <c r="F72" i="77"/>
  <c r="F67" i="77"/>
  <c r="F64" i="77"/>
  <c r="F59" i="77"/>
  <c r="F56" i="77"/>
  <c r="F52" i="77"/>
  <c r="F48" i="77"/>
  <c r="F39" i="77"/>
  <c r="Z49" i="77"/>
  <c r="F51" i="77"/>
  <c r="F82" i="77"/>
  <c r="X12" i="72"/>
  <c r="J15" i="72"/>
  <c r="T18" i="72"/>
  <c r="J21" i="73"/>
  <c r="J23" i="73"/>
  <c r="J37" i="73"/>
  <c r="X12" i="74"/>
  <c r="J15" i="74"/>
  <c r="V17" i="74"/>
  <c r="J23" i="74"/>
  <c r="X61" i="76"/>
  <c r="Z61" i="76" s="1"/>
  <c r="N15" i="77"/>
  <c r="X20" i="77"/>
  <c r="Z20" i="77" s="1"/>
  <c r="N26" i="77"/>
  <c r="L26" i="77"/>
  <c r="Z27" i="77"/>
  <c r="Z39" i="77"/>
  <c r="L61" i="77"/>
  <c r="X65" i="77"/>
  <c r="Z65" i="77" s="1"/>
  <c r="L67" i="77"/>
  <c r="N67" i="77" s="1"/>
  <c r="F75" i="77"/>
  <c r="N15" i="78"/>
  <c r="D29" i="78"/>
  <c r="J20" i="79"/>
  <c r="N15" i="84"/>
  <c r="L15" i="84"/>
  <c r="L15" i="78"/>
  <c r="X21" i="78"/>
  <c r="P12" i="79"/>
  <c r="N13" i="79"/>
  <c r="L14" i="79"/>
  <c r="X16" i="79"/>
  <c r="L46" i="79"/>
  <c r="N46" i="79" s="1"/>
  <c r="T16" i="80"/>
  <c r="R19" i="80"/>
  <c r="F21" i="80"/>
  <c r="V21" i="80"/>
  <c r="R22" i="80"/>
  <c r="J23" i="80"/>
  <c r="F26" i="80"/>
  <c r="R27" i="80"/>
  <c r="F73" i="81"/>
  <c r="F66" i="81"/>
  <c r="F51" i="81"/>
  <c r="F47" i="81"/>
  <c r="F42" i="81"/>
  <c r="F39" i="81"/>
  <c r="F23" i="81"/>
  <c r="F63" i="81"/>
  <c r="F57" i="81"/>
  <c r="F54" i="81"/>
  <c r="F33" i="81"/>
  <c r="F22" i="81"/>
  <c r="F44" i="81"/>
  <c r="F41" i="81"/>
  <c r="F28" i="81"/>
  <c r="F59" i="81"/>
  <c r="F56" i="81"/>
  <c r="F35" i="81"/>
  <c r="F32" i="81"/>
  <c r="F70" i="81"/>
  <c r="F64" i="81"/>
  <c r="F50" i="81"/>
  <c r="F46" i="81"/>
  <c r="F43" i="81"/>
  <c r="F38" i="81"/>
  <c r="F31" i="81"/>
  <c r="F27" i="81"/>
  <c r="F68" i="81"/>
  <c r="F58" i="81"/>
  <c r="F53" i="81"/>
  <c r="F34" i="81"/>
  <c r="F30" i="81"/>
  <c r="F26" i="81"/>
  <c r="J19" i="81"/>
  <c r="V21" i="81"/>
  <c r="J24" i="81"/>
  <c r="V27" i="81"/>
  <c r="Z28" i="81"/>
  <c r="Z40" i="81"/>
  <c r="L42" i="81"/>
  <c r="Z55" i="81"/>
  <c r="V62" i="81"/>
  <c r="Z21" i="82"/>
  <c r="Z25" i="83"/>
  <c r="X31" i="83"/>
  <c r="Z31" i="83" s="1"/>
  <c r="L33" i="83"/>
  <c r="N33" i="83" s="1"/>
  <c r="F38" i="84"/>
  <c r="F31" i="84"/>
  <c r="F35" i="84"/>
  <c r="F29" i="84"/>
  <c r="F24" i="84"/>
  <c r="F23" i="84"/>
  <c r="F33" i="84"/>
  <c r="F27" i="84"/>
  <c r="F20" i="84"/>
  <c r="F17" i="84"/>
  <c r="F22" i="84"/>
  <c r="D17" i="84"/>
  <c r="F26" i="84"/>
  <c r="F25" i="84"/>
  <c r="N19" i="84"/>
  <c r="L19" i="84"/>
  <c r="R73" i="85"/>
  <c r="R57" i="85"/>
  <c r="R40" i="85"/>
  <c r="R37" i="85"/>
  <c r="R28" i="85"/>
  <c r="R81" i="85"/>
  <c r="R64" i="85"/>
  <c r="R51" i="85"/>
  <c r="R48" i="85"/>
  <c r="R32" i="85"/>
  <c r="R27" i="85"/>
  <c r="R70" i="85"/>
  <c r="R42" i="85"/>
  <c r="R39" i="85"/>
  <c r="R26" i="85"/>
  <c r="R76" i="85"/>
  <c r="R69" i="85"/>
  <c r="R61" i="85"/>
  <c r="R53" i="85"/>
  <c r="R50" i="85"/>
  <c r="R45" i="85"/>
  <c r="R25" i="85"/>
  <c r="R22" i="85"/>
  <c r="R17" i="85"/>
  <c r="R72" i="85"/>
  <c r="R68" i="85"/>
  <c r="R60" i="85"/>
  <c r="R56" i="85"/>
  <c r="R44" i="85"/>
  <c r="R41" i="85"/>
  <c r="R36" i="85"/>
  <c r="R24" i="85"/>
  <c r="R67" i="85"/>
  <c r="R63" i="85"/>
  <c r="R59" i="85"/>
  <c r="R55" i="85"/>
  <c r="R52" i="85"/>
  <c r="R47" i="85"/>
  <c r="R35" i="85"/>
  <c r="R31" i="85"/>
  <c r="R16" i="85"/>
  <c r="R65" i="85"/>
  <c r="R62" i="85"/>
  <c r="R54" i="85"/>
  <c r="R49" i="85"/>
  <c r="R46" i="85"/>
  <c r="R33" i="85"/>
  <c r="R29" i="85"/>
  <c r="R20" i="85"/>
  <c r="P20" i="85"/>
  <c r="R38" i="85"/>
  <c r="R74" i="85"/>
  <c r="R71" i="85"/>
  <c r="R23" i="85"/>
  <c r="R43" i="85"/>
  <c r="R30" i="85"/>
  <c r="X12" i="85"/>
  <c r="Z12" i="85" s="1"/>
  <c r="F72" i="85"/>
  <c r="F68" i="85"/>
  <c r="F60" i="85"/>
  <c r="F56" i="85"/>
  <c r="F44" i="85"/>
  <c r="F39" i="85"/>
  <c r="F36" i="85"/>
  <c r="F24" i="85"/>
  <c r="F76" i="85"/>
  <c r="F67" i="85"/>
  <c r="F63" i="85"/>
  <c r="F59" i="85"/>
  <c r="F55" i="85"/>
  <c r="F50" i="85"/>
  <c r="F47" i="85"/>
  <c r="F35" i="85"/>
  <c r="F31" i="85"/>
  <c r="F22" i="85"/>
  <c r="F74" i="85"/>
  <c r="F66" i="85"/>
  <c r="F58" i="85"/>
  <c r="F41" i="85"/>
  <c r="F38" i="85"/>
  <c r="F34" i="85"/>
  <c r="F30" i="85"/>
  <c r="F65" i="85"/>
  <c r="F52" i="85"/>
  <c r="F49" i="85"/>
  <c r="F33" i="85"/>
  <c r="F29" i="85"/>
  <c r="F16" i="85"/>
  <c r="F77" i="85"/>
  <c r="F71" i="85"/>
  <c r="F43" i="85"/>
  <c r="F40" i="85"/>
  <c r="F28" i="85"/>
  <c r="F23" i="85"/>
  <c r="F81" i="85"/>
  <c r="F62" i="85"/>
  <c r="F54" i="85"/>
  <c r="F51" i="85"/>
  <c r="F46" i="85"/>
  <c r="F27" i="85"/>
  <c r="F69" i="85"/>
  <c r="F64" i="85"/>
  <c r="F61" i="85"/>
  <c r="F53" i="85"/>
  <c r="F48" i="85"/>
  <c r="F45" i="85"/>
  <c r="F32" i="85"/>
  <c r="F25" i="85"/>
  <c r="F17" i="85"/>
  <c r="F18" i="85"/>
  <c r="F37" i="85"/>
  <c r="F73" i="85"/>
  <c r="F70" i="85"/>
  <c r="D20" i="85"/>
  <c r="F20" i="85" s="1"/>
  <c r="F42" i="85"/>
  <c r="Z50" i="85"/>
  <c r="N52" i="85"/>
  <c r="F16" i="78"/>
  <c r="J21" i="78"/>
  <c r="T12" i="79"/>
  <c r="V16" i="80"/>
  <c r="V22" i="80"/>
  <c r="J26" i="80"/>
  <c r="J30" i="80"/>
  <c r="R32" i="80"/>
  <c r="J36" i="80"/>
  <c r="R39" i="80"/>
  <c r="J54" i="81"/>
  <c r="J44" i="81"/>
  <c r="J28" i="81"/>
  <c r="J22" i="81"/>
  <c r="J59" i="81"/>
  <c r="J41" i="81"/>
  <c r="J35" i="81"/>
  <c r="J70" i="81"/>
  <c r="J64" i="81"/>
  <c r="J56" i="81"/>
  <c r="J50" i="81"/>
  <c r="J46" i="81"/>
  <c r="J38" i="81"/>
  <c r="J32" i="81"/>
  <c r="J53" i="81"/>
  <c r="J43" i="81"/>
  <c r="J31" i="81"/>
  <c r="J27" i="81"/>
  <c r="J68" i="81"/>
  <c r="J62" i="81"/>
  <c r="J58" i="81"/>
  <c r="J40" i="81"/>
  <c r="J34" i="81"/>
  <c r="J30" i="81"/>
  <c r="J26" i="81"/>
  <c r="J55" i="81"/>
  <c r="J49" i="81"/>
  <c r="J45" i="81"/>
  <c r="J37" i="81"/>
  <c r="J29" i="81"/>
  <c r="J25" i="81"/>
  <c r="J23" i="81"/>
  <c r="F37" i="81"/>
  <c r="V40" i="81"/>
  <c r="J47" i="81"/>
  <c r="V55" i="81"/>
  <c r="J66" i="81"/>
  <c r="R70" i="81"/>
  <c r="F32" i="83"/>
  <c r="F27" i="83"/>
  <c r="F24" i="83"/>
  <c r="F19" i="83"/>
  <c r="F42" i="83"/>
  <c r="F36" i="83"/>
  <c r="F23" i="83"/>
  <c r="F16" i="83"/>
  <c r="F40" i="83"/>
  <c r="F34" i="83"/>
  <c r="F29" i="83"/>
  <c r="F26" i="83"/>
  <c r="F22" i="83"/>
  <c r="D16" i="83"/>
  <c r="F21" i="83"/>
  <c r="F31" i="83"/>
  <c r="F28" i="83"/>
  <c r="F20" i="83"/>
  <c r="L12" i="83"/>
  <c r="H12" i="84"/>
  <c r="N13" i="84"/>
  <c r="V19" i="80"/>
  <c r="V27" i="80"/>
  <c r="R28" i="80"/>
  <c r="D32" i="80"/>
  <c r="R34" i="80"/>
  <c r="F20" i="81"/>
  <c r="F29" i="81"/>
  <c r="J42" i="81"/>
  <c r="V43" i="81"/>
  <c r="J42" i="83"/>
  <c r="J36" i="83"/>
  <c r="J32" i="83"/>
  <c r="J24" i="83"/>
  <c r="J16" i="83"/>
  <c r="J29" i="83"/>
  <c r="J23" i="83"/>
  <c r="H16" i="83"/>
  <c r="J40" i="83"/>
  <c r="J34" i="83"/>
  <c r="J26" i="83"/>
  <c r="J22" i="83"/>
  <c r="J31" i="83"/>
  <c r="J21" i="83"/>
  <c r="J45" i="83"/>
  <c r="J38" i="83"/>
  <c r="J28" i="83"/>
  <c r="J20" i="83"/>
  <c r="J18" i="83"/>
  <c r="J14" i="83"/>
  <c r="N12" i="83"/>
  <c r="J33" i="83"/>
  <c r="J25" i="83"/>
  <c r="J19" i="83"/>
  <c r="H12" i="77"/>
  <c r="L12" i="77" s="1"/>
  <c r="J17" i="78"/>
  <c r="F19" i="78"/>
  <c r="V19" i="78"/>
  <c r="F23" i="78"/>
  <c r="V23" i="78"/>
  <c r="J27" i="78"/>
  <c r="F29" i="78"/>
  <c r="V29" i="78"/>
  <c r="X13" i="79"/>
  <c r="Z12" i="80"/>
  <c r="R14" i="80"/>
  <c r="J16" i="80"/>
  <c r="R18" i="80"/>
  <c r="V20" i="80"/>
  <c r="J24" i="80"/>
  <c r="V28" i="80"/>
  <c r="F32" i="80"/>
  <c r="V32" i="80"/>
  <c r="V34" i="80"/>
  <c r="F39" i="80"/>
  <c r="V39" i="80"/>
  <c r="N12" i="81"/>
  <c r="J14" i="81"/>
  <c r="J18" i="81"/>
  <c r="J20" i="81"/>
  <c r="F21" i="81"/>
  <c r="J33" i="81"/>
  <c r="F52" i="81"/>
  <c r="N53" i="81"/>
  <c r="J73" i="81"/>
  <c r="R16" i="82"/>
  <c r="R24" i="82"/>
  <c r="R21" i="82"/>
  <c r="P16" i="82"/>
  <c r="R36" i="82"/>
  <c r="R30" i="82"/>
  <c r="R26" i="82"/>
  <c r="R23" i="82"/>
  <c r="R18" i="82"/>
  <c r="R14" i="82"/>
  <c r="R34" i="82"/>
  <c r="R28" i="82"/>
  <c r="R25" i="82"/>
  <c r="R20" i="82"/>
  <c r="X12" i="82"/>
  <c r="Z25" i="82"/>
  <c r="Z29" i="83"/>
  <c r="F38" i="83"/>
  <c r="V54" i="86"/>
  <c r="V50" i="86"/>
  <c r="V42" i="86"/>
  <c r="V38" i="86"/>
  <c r="V41" i="86"/>
  <c r="V67" i="86"/>
  <c r="V62" i="86"/>
  <c r="V60" i="86"/>
  <c r="V44" i="86"/>
  <c r="V57" i="86"/>
  <c r="V47" i="86"/>
  <c r="V43" i="86"/>
  <c r="V46" i="86"/>
  <c r="V34" i="86"/>
  <c r="V53" i="86"/>
  <c r="V49" i="86"/>
  <c r="V45" i="86"/>
  <c r="V37" i="86"/>
  <c r="V55" i="86"/>
  <c r="V51" i="86"/>
  <c r="V52" i="86"/>
  <c r="V24" i="86"/>
  <c r="V39" i="86"/>
  <c r="V23" i="86"/>
  <c r="V19" i="86"/>
  <c r="V15" i="86"/>
  <c r="V40" i="86"/>
  <c r="V22" i="86"/>
  <c r="V14" i="86"/>
  <c r="V36" i="86"/>
  <c r="V21" i="86"/>
  <c r="V33" i="86"/>
  <c r="V32" i="86"/>
  <c r="V28" i="86"/>
  <c r="V20" i="86"/>
  <c r="Z12" i="86"/>
  <c r="V64" i="86"/>
  <c r="V58" i="86"/>
  <c r="V35" i="86"/>
  <c r="V31" i="86"/>
  <c r="V27" i="86"/>
  <c r="V17" i="86"/>
  <c r="X12" i="86"/>
  <c r="V48" i="86"/>
  <c r="V29" i="86"/>
  <c r="V25" i="86"/>
  <c r="T17" i="86"/>
  <c r="V26" i="86"/>
  <c r="X74" i="77"/>
  <c r="L76" i="77"/>
  <c r="N76" i="77" s="1"/>
  <c r="L80" i="77"/>
  <c r="N80" i="77" s="1"/>
  <c r="H19" i="78"/>
  <c r="J19" i="80"/>
  <c r="F22" i="80"/>
  <c r="R23" i="80"/>
  <c r="F25" i="80"/>
  <c r="V25" i="80"/>
  <c r="R26" i="80"/>
  <c r="J27" i="80"/>
  <c r="H32" i="80"/>
  <c r="R62" i="81"/>
  <c r="R43" i="81"/>
  <c r="R40" i="81"/>
  <c r="R31" i="81"/>
  <c r="R27" i="81"/>
  <c r="R68" i="81"/>
  <c r="R58" i="81"/>
  <c r="R55" i="81"/>
  <c r="R34" i="81"/>
  <c r="R30" i="81"/>
  <c r="R26" i="81"/>
  <c r="R73" i="81"/>
  <c r="R66" i="81"/>
  <c r="R49" i="81"/>
  <c r="R45" i="81"/>
  <c r="R42" i="81"/>
  <c r="R37" i="81"/>
  <c r="R29" i="81"/>
  <c r="R25" i="81"/>
  <c r="R63" i="81"/>
  <c r="R60" i="81"/>
  <c r="R57" i="81"/>
  <c r="R52" i="81"/>
  <c r="R48" i="81"/>
  <c r="R36" i="81"/>
  <c r="R33" i="81"/>
  <c r="R24" i="81"/>
  <c r="R51" i="81"/>
  <c r="R47" i="81"/>
  <c r="R44" i="81"/>
  <c r="R39" i="81"/>
  <c r="R28" i="81"/>
  <c r="R23" i="81"/>
  <c r="R59" i="81"/>
  <c r="R54" i="81"/>
  <c r="R35" i="81"/>
  <c r="D16" i="81"/>
  <c r="R19" i="81"/>
  <c r="J21" i="81"/>
  <c r="R32" i="81"/>
  <c r="F36" i="81"/>
  <c r="J52" i="81"/>
  <c r="J63" i="81"/>
  <c r="V36" i="82"/>
  <c r="V30" i="82"/>
  <c r="V24" i="82"/>
  <c r="V23" i="82"/>
  <c r="V26" i="82"/>
  <c r="V18" i="82"/>
  <c r="V14" i="82"/>
  <c r="V25" i="82"/>
  <c r="V39" i="82"/>
  <c r="V34" i="82"/>
  <c r="V32" i="82"/>
  <c r="V28" i="82"/>
  <c r="V20" i="82"/>
  <c r="Z12" i="82"/>
  <c r="V27" i="82"/>
  <c r="V19" i="82"/>
  <c r="D32" i="82"/>
  <c r="R19" i="82"/>
  <c r="N23" i="82"/>
  <c r="N27" i="82"/>
  <c r="L30" i="82"/>
  <c r="R32" i="82"/>
  <c r="T16" i="83"/>
  <c r="Z14" i="83"/>
  <c r="X18" i="83"/>
  <c r="L12" i="84"/>
  <c r="Z13" i="84"/>
  <c r="R66" i="85"/>
  <c r="L12" i="78"/>
  <c r="N12" i="78" s="1"/>
  <c r="V15" i="78"/>
  <c r="J19" i="78"/>
  <c r="J23" i="78"/>
  <c r="V14" i="80"/>
  <c r="V18" i="80"/>
  <c r="J22" i="80"/>
  <c r="V26" i="80"/>
  <c r="R30" i="80"/>
  <c r="J32" i="80"/>
  <c r="R36" i="80"/>
  <c r="J39" i="80"/>
  <c r="V73" i="81"/>
  <c r="V68" i="81"/>
  <c r="V66" i="81"/>
  <c r="V58" i="81"/>
  <c r="V42" i="81"/>
  <c r="V34" i="81"/>
  <c r="V30" i="81"/>
  <c r="V26" i="81"/>
  <c r="V63" i="81"/>
  <c r="V57" i="81"/>
  <c r="V49" i="81"/>
  <c r="V45" i="81"/>
  <c r="V37" i="81"/>
  <c r="V33" i="81"/>
  <c r="V29" i="81"/>
  <c r="V25" i="81"/>
  <c r="V60" i="81"/>
  <c r="V52" i="81"/>
  <c r="V48" i="81"/>
  <c r="V44" i="81"/>
  <c r="V36" i="81"/>
  <c r="V28" i="81"/>
  <c r="V24" i="81"/>
  <c r="V59" i="81"/>
  <c r="V51" i="81"/>
  <c r="V47" i="81"/>
  <c r="V39" i="81"/>
  <c r="V35" i="81"/>
  <c r="V23" i="81"/>
  <c r="V70" i="81"/>
  <c r="V64" i="81"/>
  <c r="V54" i="81"/>
  <c r="V50" i="81"/>
  <c r="V46" i="81"/>
  <c r="V38" i="81"/>
  <c r="V53" i="81"/>
  <c r="V41" i="81"/>
  <c r="F16" i="81"/>
  <c r="V16" i="81"/>
  <c r="F25" i="81"/>
  <c r="V32" i="81"/>
  <c r="J36" i="81"/>
  <c r="F40" i="81"/>
  <c r="F45" i="81"/>
  <c r="J51" i="81"/>
  <c r="R53" i="81"/>
  <c r="F55" i="81"/>
  <c r="J57" i="81"/>
  <c r="F62" i="81"/>
  <c r="Z19" i="82"/>
  <c r="X19" i="82"/>
  <c r="Z18" i="83"/>
  <c r="F25" i="83"/>
  <c r="J27" i="83"/>
  <c r="F30" i="83"/>
  <c r="V81" i="85"/>
  <c r="V51" i="85"/>
  <c r="V39" i="85"/>
  <c r="V27" i="85"/>
  <c r="V76" i="85"/>
  <c r="V70" i="85"/>
  <c r="V50" i="85"/>
  <c r="V42" i="85"/>
  <c r="V26" i="85"/>
  <c r="V22" i="85"/>
  <c r="V18" i="85"/>
  <c r="V69" i="85"/>
  <c r="V61" i="85"/>
  <c r="V53" i="85"/>
  <c r="V45" i="85"/>
  <c r="V41" i="85"/>
  <c r="V25" i="85"/>
  <c r="V72" i="85"/>
  <c r="V68" i="85"/>
  <c r="V60" i="85"/>
  <c r="V56" i="85"/>
  <c r="V52" i="85"/>
  <c r="V44" i="85"/>
  <c r="V36" i="85"/>
  <c r="V24" i="85"/>
  <c r="V16" i="85"/>
  <c r="V77" i="85"/>
  <c r="V71" i="85"/>
  <c r="V67" i="85"/>
  <c r="V63" i="85"/>
  <c r="V59" i="85"/>
  <c r="V55" i="85"/>
  <c r="V47" i="85"/>
  <c r="V43" i="85"/>
  <c r="V35" i="85"/>
  <c r="V31" i="85"/>
  <c r="V23" i="85"/>
  <c r="V74" i="85"/>
  <c r="V66" i="85"/>
  <c r="V62" i="85"/>
  <c r="V58" i="85"/>
  <c r="V54" i="85"/>
  <c r="V46" i="85"/>
  <c r="V38" i="85"/>
  <c r="V34" i="85"/>
  <c r="V30" i="85"/>
  <c r="V64" i="85"/>
  <c r="V48" i="85"/>
  <c r="V40" i="85"/>
  <c r="V32" i="85"/>
  <c r="V28" i="85"/>
  <c r="V73" i="85"/>
  <c r="T20" i="85"/>
  <c r="V29" i="85"/>
  <c r="V57" i="85"/>
  <c r="V65" i="85"/>
  <c r="V33" i="85"/>
  <c r="V17" i="85"/>
  <c r="R58" i="85"/>
  <c r="L19" i="78"/>
  <c r="X14" i="80"/>
  <c r="R21" i="80"/>
  <c r="F23" i="80"/>
  <c r="F28" i="80"/>
  <c r="X12" i="81"/>
  <c r="H16" i="81"/>
  <c r="X16" i="81"/>
  <c r="F19" i="81"/>
  <c r="V19" i="81"/>
  <c r="V22" i="81"/>
  <c r="V31" i="81"/>
  <c r="J39" i="81"/>
  <c r="R46" i="81"/>
  <c r="F49" i="81"/>
  <c r="Z53" i="81"/>
  <c r="X53" i="81"/>
  <c r="N55" i="81"/>
  <c r="L55" i="81"/>
  <c r="R56" i="81"/>
  <c r="F60" i="81"/>
  <c r="R64" i="81"/>
  <c r="N21" i="82"/>
  <c r="L21" i="82"/>
  <c r="R22" i="82"/>
  <c r="R27" i="82"/>
  <c r="R39" i="82"/>
  <c r="N25" i="83"/>
  <c r="L25" i="83"/>
  <c r="J30" i="83"/>
  <c r="F15" i="84"/>
  <c r="L24" i="84"/>
  <c r="N24" i="84" s="1"/>
  <c r="R34" i="85"/>
  <c r="V37" i="85"/>
  <c r="R77" i="85"/>
  <c r="H16" i="82"/>
  <c r="F19" i="82"/>
  <c r="J21" i="82"/>
  <c r="F24" i="82"/>
  <c r="F27" i="82"/>
  <c r="P16" i="83"/>
  <c r="V23" i="83"/>
  <c r="R24" i="83"/>
  <c r="R29" i="83"/>
  <c r="V31" i="83"/>
  <c r="R32" i="83"/>
  <c r="P12" i="84"/>
  <c r="N16" i="85"/>
  <c r="N22" i="85"/>
  <c r="J25" i="85"/>
  <c r="J39" i="85"/>
  <c r="Z46" i="85"/>
  <c r="N48" i="85"/>
  <c r="L48" i="85"/>
  <c r="Z19" i="86"/>
  <c r="N29" i="86"/>
  <c r="L29" i="86"/>
  <c r="F32" i="88"/>
  <c r="F37" i="88"/>
  <c r="F24" i="88"/>
  <c r="F19" i="88"/>
  <c r="F28" i="88"/>
  <c r="F16" i="88"/>
  <c r="F34" i="88"/>
  <c r="F26" i="88"/>
  <c r="F21" i="88"/>
  <c r="D16" i="88"/>
  <c r="F23" i="88"/>
  <c r="F20" i="88"/>
  <c r="L12" i="88"/>
  <c r="F18" i="88"/>
  <c r="F14" i="88"/>
  <c r="F30" i="88"/>
  <c r="F25" i="88"/>
  <c r="F22" i="88"/>
  <c r="J24" i="82"/>
  <c r="F32" i="82"/>
  <c r="F39" i="82"/>
  <c r="V32" i="83"/>
  <c r="R36" i="83"/>
  <c r="R42" i="83"/>
  <c r="V33" i="84"/>
  <c r="V27" i="84"/>
  <c r="V29" i="84"/>
  <c r="V23" i="84"/>
  <c r="T17" i="84"/>
  <c r="V22" i="84"/>
  <c r="N16" i="90"/>
  <c r="H44" i="90"/>
  <c r="J19" i="82"/>
  <c r="F22" i="82"/>
  <c r="F25" i="82"/>
  <c r="J27" i="82"/>
  <c r="R19" i="83"/>
  <c r="R27" i="83"/>
  <c r="V29" i="83"/>
  <c r="R30" i="83"/>
  <c r="V17" i="84"/>
  <c r="H79" i="85"/>
  <c r="J79" i="85" s="1"/>
  <c r="N32" i="85"/>
  <c r="N54" i="85"/>
  <c r="X62" i="85"/>
  <c r="Z62" i="85" s="1"/>
  <c r="L64" i="85"/>
  <c r="N64" i="85" s="1"/>
  <c r="F14" i="82"/>
  <c r="F18" i="82"/>
  <c r="J22" i="82"/>
  <c r="J32" i="82"/>
  <c r="J39" i="82"/>
  <c r="V16" i="83"/>
  <c r="V30" i="83"/>
  <c r="V36" i="83"/>
  <c r="V42" i="83"/>
  <c r="V20" i="84"/>
  <c r="J67" i="85"/>
  <c r="J63" i="85"/>
  <c r="J59" i="85"/>
  <c r="J55" i="85"/>
  <c r="J47" i="85"/>
  <c r="J41" i="85"/>
  <c r="J35" i="85"/>
  <c r="J31" i="85"/>
  <c r="J74" i="85"/>
  <c r="J66" i="85"/>
  <c r="J58" i="85"/>
  <c r="J52" i="85"/>
  <c r="J38" i="85"/>
  <c r="J34" i="85"/>
  <c r="J30" i="85"/>
  <c r="J16" i="85"/>
  <c r="J77" i="85"/>
  <c r="J71" i="85"/>
  <c r="J65" i="85"/>
  <c r="J49" i="85"/>
  <c r="J43" i="85"/>
  <c r="J33" i="85"/>
  <c r="J29" i="85"/>
  <c r="J23" i="85"/>
  <c r="J62" i="85"/>
  <c r="J54" i="85"/>
  <c r="J46" i="85"/>
  <c r="J40" i="85"/>
  <c r="J28" i="85"/>
  <c r="J20" i="85"/>
  <c r="N12" i="85"/>
  <c r="J81" i="85"/>
  <c r="J73" i="85"/>
  <c r="J57" i="85"/>
  <c r="J51" i="85"/>
  <c r="J37" i="85"/>
  <c r="J27" i="85"/>
  <c r="J70" i="85"/>
  <c r="J64" i="85"/>
  <c r="J48" i="85"/>
  <c r="J42" i="85"/>
  <c r="J32" i="85"/>
  <c r="J26" i="85"/>
  <c r="J18" i="85"/>
  <c r="J76" i="85"/>
  <c r="J72" i="85"/>
  <c r="J68" i="85"/>
  <c r="J60" i="85"/>
  <c r="J56" i="85"/>
  <c r="J50" i="85"/>
  <c r="J44" i="85"/>
  <c r="J36" i="85"/>
  <c r="J24" i="85"/>
  <c r="J22" i="85"/>
  <c r="L14" i="85"/>
  <c r="N14" i="85" s="1"/>
  <c r="Z16" i="85"/>
  <c r="Z22" i="85"/>
  <c r="J53" i="85"/>
  <c r="J69" i="85"/>
  <c r="P62" i="81"/>
  <c r="X62" i="81" s="1"/>
  <c r="Z62" i="81" s="1"/>
  <c r="L12" i="82"/>
  <c r="X14" i="82"/>
  <c r="F20" i="82"/>
  <c r="F23" i="82"/>
  <c r="J25" i="82"/>
  <c r="F28" i="82"/>
  <c r="F34" i="82"/>
  <c r="X12" i="83"/>
  <c r="V19" i="83"/>
  <c r="R20" i="83"/>
  <c r="R25" i="83"/>
  <c r="V27" i="83"/>
  <c r="R28" i="83"/>
  <c r="R33" i="83"/>
  <c r="X36" i="83"/>
  <c r="X20" i="84"/>
  <c r="Z20" i="84" s="1"/>
  <c r="V21" i="84"/>
  <c r="L22" i="84"/>
  <c r="N22" i="84" s="1"/>
  <c r="V24" i="84"/>
  <c r="V25" i="84"/>
  <c r="Z32" i="85"/>
  <c r="N50" i="85"/>
  <c r="Z54" i="85"/>
  <c r="X54" i="85"/>
  <c r="Z64" i="85"/>
  <c r="H34" i="88"/>
  <c r="J28" i="82"/>
  <c r="F30" i="82"/>
  <c r="R18" i="83"/>
  <c r="R21" i="83"/>
  <c r="R38" i="83"/>
  <c r="X13" i="85"/>
  <c r="Z13" i="85" s="1"/>
  <c r="N19" i="86"/>
  <c r="R64" i="86"/>
  <c r="R58" i="86"/>
  <c r="R55" i="86"/>
  <c r="R51" i="86"/>
  <c r="R48" i="86"/>
  <c r="R39" i="86"/>
  <c r="R36" i="86"/>
  <c r="R42" i="86"/>
  <c r="R54" i="86"/>
  <c r="R50" i="86"/>
  <c r="R38" i="86"/>
  <c r="R33" i="86"/>
  <c r="R62" i="86"/>
  <c r="R44" i="86"/>
  <c r="R41" i="86"/>
  <c r="R67" i="86"/>
  <c r="R60" i="86"/>
  <c r="R47" i="86"/>
  <c r="R35" i="86"/>
  <c r="R57" i="86"/>
  <c r="R46" i="86"/>
  <c r="R43" i="86"/>
  <c r="R52" i="86"/>
  <c r="R17" i="86"/>
  <c r="J19" i="86"/>
  <c r="J21" i="86"/>
  <c r="F22" i="86"/>
  <c r="R26" i="86"/>
  <c r="F29" i="86"/>
  <c r="R30" i="86"/>
  <c r="J33" i="86"/>
  <c r="R37" i="86"/>
  <c r="V39" i="89"/>
  <c r="Z37" i="90"/>
  <c r="X37" i="90"/>
  <c r="J15" i="86"/>
  <c r="J23" i="86"/>
  <c r="R28" i="86"/>
  <c r="J29" i="86"/>
  <c r="R32" i="86"/>
  <c r="X36" i="86"/>
  <c r="J41" i="86"/>
  <c r="J50" i="86"/>
  <c r="H31" i="87"/>
  <c r="Z24" i="87"/>
  <c r="L29" i="87"/>
  <c r="N18" i="88"/>
  <c r="H17" i="86"/>
  <c r="J24" i="86"/>
  <c r="R34" i="86"/>
  <c r="J54" i="86"/>
  <c r="F54" i="86"/>
  <c r="F50" i="86"/>
  <c r="F47" i="86"/>
  <c r="F38" i="86"/>
  <c r="F35" i="86"/>
  <c r="F46" i="86"/>
  <c r="F41" i="86"/>
  <c r="F67" i="86"/>
  <c r="F60" i="86"/>
  <c r="F53" i="86"/>
  <c r="F49" i="86"/>
  <c r="F37" i="86"/>
  <c r="F57" i="86"/>
  <c r="F52" i="86"/>
  <c r="F43" i="86"/>
  <c r="F55" i="86"/>
  <c r="F51" i="86"/>
  <c r="F39" i="86"/>
  <c r="F34" i="86"/>
  <c r="F45" i="86"/>
  <c r="F42" i="86"/>
  <c r="F62" i="86"/>
  <c r="J17" i="86"/>
  <c r="R19" i="86"/>
  <c r="R22" i="86"/>
  <c r="J25" i="86"/>
  <c r="F26" i="86"/>
  <c r="F30" i="86"/>
  <c r="J39" i="86"/>
  <c r="R40" i="86"/>
  <c r="F48" i="86"/>
  <c r="R49" i="86"/>
  <c r="T16" i="88"/>
  <c r="Z14" i="88"/>
  <c r="X18" i="88"/>
  <c r="L14" i="90"/>
  <c r="D16" i="90"/>
  <c r="J67" i="86"/>
  <c r="J60" i="86"/>
  <c r="J46" i="86"/>
  <c r="J57" i="86"/>
  <c r="J53" i="86"/>
  <c r="J49" i="86"/>
  <c r="J43" i="86"/>
  <c r="J37" i="86"/>
  <c r="J52" i="86"/>
  <c r="J40" i="86"/>
  <c r="J34" i="86"/>
  <c r="J55" i="86"/>
  <c r="J51" i="86"/>
  <c r="J45" i="86"/>
  <c r="J64" i="86"/>
  <c r="J58" i="86"/>
  <c r="J48" i="86"/>
  <c r="J42" i="86"/>
  <c r="J36" i="86"/>
  <c r="J20" i="86"/>
  <c r="J26" i="86"/>
  <c r="J30" i="86"/>
  <c r="F31" i="86"/>
  <c r="N38" i="86"/>
  <c r="L38" i="86"/>
  <c r="F44" i="86"/>
  <c r="J47" i="86"/>
  <c r="R53" i="86"/>
  <c r="H41" i="89"/>
  <c r="L12" i="86"/>
  <c r="R24" i="86"/>
  <c r="J27" i="86"/>
  <c r="F28" i="86"/>
  <c r="R29" i="86"/>
  <c r="J31" i="86"/>
  <c r="F32" i="86"/>
  <c r="J38" i="86"/>
  <c r="J44" i="86"/>
  <c r="R45" i="86"/>
  <c r="F58" i="86"/>
  <c r="Z18" i="88"/>
  <c r="V41" i="89"/>
  <c r="V35" i="89"/>
  <c r="V29" i="89"/>
  <c r="V21" i="89"/>
  <c r="V31" i="89"/>
  <c r="V17" i="89"/>
  <c r="V32" i="89"/>
  <c r="V24" i="89"/>
  <c r="V27" i="89"/>
  <c r="V23" i="89"/>
  <c r="V19" i="89"/>
  <c r="V15" i="89"/>
  <c r="T17" i="89"/>
  <c r="V44" i="89"/>
  <c r="V22" i="89"/>
  <c r="V37" i="89"/>
  <c r="V28" i="89"/>
  <c r="V26" i="89"/>
  <c r="V30" i="89"/>
  <c r="V14" i="89"/>
  <c r="Z12" i="89"/>
  <c r="V33" i="89"/>
  <c r="V20" i="89"/>
  <c r="X43" i="91"/>
  <c r="Z43" i="91"/>
  <c r="N12" i="86"/>
  <c r="J14" i="86"/>
  <c r="P60" i="86"/>
  <c r="R25" i="86"/>
  <c r="J28" i="86"/>
  <c r="J32" i="86"/>
  <c r="F33" i="86"/>
  <c r="J35" i="86"/>
  <c r="F36" i="86"/>
  <c r="Z45" i="86"/>
  <c r="Z48" i="86"/>
  <c r="X48" i="86"/>
  <c r="N58" i="86"/>
  <c r="Z19" i="87"/>
  <c r="P31" i="87"/>
  <c r="J27" i="87"/>
  <c r="F29" i="87"/>
  <c r="V29" i="87"/>
  <c r="J33" i="87"/>
  <c r="F35" i="87"/>
  <c r="V35" i="87"/>
  <c r="R22" i="89"/>
  <c r="R19" i="89"/>
  <c r="R41" i="89"/>
  <c r="R35" i="89"/>
  <c r="X12" i="89"/>
  <c r="R39" i="89"/>
  <c r="R33" i="89"/>
  <c r="R30" i="89"/>
  <c r="R25" i="89"/>
  <c r="P17" i="89"/>
  <c r="R44" i="89"/>
  <c r="R37" i="89"/>
  <c r="R24" i="89"/>
  <c r="R15" i="89"/>
  <c r="F37" i="89"/>
  <c r="N18" i="90"/>
  <c r="L42" i="90"/>
  <c r="J52" i="91"/>
  <c r="J44" i="91"/>
  <c r="J34" i="91"/>
  <c r="J28" i="91"/>
  <c r="J61" i="91"/>
  <c r="J57" i="91"/>
  <c r="J49" i="91"/>
  <c r="J41" i="91"/>
  <c r="J27" i="91"/>
  <c r="J19" i="91"/>
  <c r="J70" i="91"/>
  <c r="J66" i="91"/>
  <c r="J54" i="91"/>
  <c r="J46" i="91"/>
  <c r="J38" i="91"/>
  <c r="J26" i="91"/>
  <c r="J18" i="91"/>
  <c r="J74" i="91"/>
  <c r="J68" i="91"/>
  <c r="J64" i="91"/>
  <c r="J60" i="91"/>
  <c r="J56" i="91"/>
  <c r="J48" i="91"/>
  <c r="J40" i="91"/>
  <c r="J36" i="91"/>
  <c r="J32" i="91"/>
  <c r="J63" i="91"/>
  <c r="J59" i="91"/>
  <c r="J53" i="91"/>
  <c r="J45" i="91"/>
  <c r="J35" i="91"/>
  <c r="J31" i="91"/>
  <c r="J55" i="91"/>
  <c r="J42" i="91"/>
  <c r="J47" i="91"/>
  <c r="J33" i="91"/>
  <c r="J23" i="91"/>
  <c r="J39" i="91"/>
  <c r="J30" i="91"/>
  <c r="H21" i="91"/>
  <c r="N14" i="91"/>
  <c r="J37" i="91"/>
  <c r="J58" i="91"/>
  <c r="R66" i="91"/>
  <c r="L50" i="86"/>
  <c r="L54" i="86"/>
  <c r="N54" i="86" s="1"/>
  <c r="X58" i="86"/>
  <c r="Z58" i="86" s="1"/>
  <c r="J19" i="87"/>
  <c r="V21" i="87"/>
  <c r="J25" i="87"/>
  <c r="J29" i="87"/>
  <c r="R31" i="87"/>
  <c r="J35" i="87"/>
  <c r="R38" i="87"/>
  <c r="V14" i="88"/>
  <c r="V18" i="88"/>
  <c r="J22" i="88"/>
  <c r="V26" i="88"/>
  <c r="J30" i="88"/>
  <c r="V34" i="88"/>
  <c r="N19" i="89"/>
  <c r="F20" i="89"/>
  <c r="J22" i="89"/>
  <c r="R26" i="89"/>
  <c r="R28" i="89"/>
  <c r="L35" i="89"/>
  <c r="F44" i="89"/>
  <c r="F48" i="90"/>
  <c r="F42" i="90"/>
  <c r="F32" i="90"/>
  <c r="F29" i="90"/>
  <c r="F25" i="90"/>
  <c r="F46" i="90"/>
  <c r="F40" i="90"/>
  <c r="F24" i="90"/>
  <c r="F19" i="90"/>
  <c r="F34" i="90"/>
  <c r="F31" i="90"/>
  <c r="F23" i="90"/>
  <c r="F16" i="90"/>
  <c r="F39" i="90"/>
  <c r="F36" i="90"/>
  <c r="F20" i="90"/>
  <c r="L12" i="90"/>
  <c r="F35" i="90"/>
  <c r="F30" i="90"/>
  <c r="F27" i="90"/>
  <c r="F18" i="90"/>
  <c r="F14" i="90"/>
  <c r="F45" i="91"/>
  <c r="J50" i="91"/>
  <c r="R54" i="91"/>
  <c r="J65" i="91"/>
  <c r="R70" i="91"/>
  <c r="R16" i="92"/>
  <c r="P16" i="92"/>
  <c r="R31" i="92"/>
  <c r="R22" i="92"/>
  <c r="R28" i="92"/>
  <c r="R18" i="92"/>
  <c r="R14" i="92"/>
  <c r="R26" i="92"/>
  <c r="R20" i="92"/>
  <c r="X12" i="92"/>
  <c r="R24" i="92"/>
  <c r="R19" i="92"/>
  <c r="D28" i="92"/>
  <c r="X18" i="92"/>
  <c r="Z18" i="92" s="1"/>
  <c r="L17" i="93"/>
  <c r="N17" i="93" s="1"/>
  <c r="D57" i="86"/>
  <c r="T57" i="86"/>
  <c r="F14" i="87"/>
  <c r="V14" i="87"/>
  <c r="N16" i="87"/>
  <c r="F18" i="87"/>
  <c r="V18" i="87"/>
  <c r="F23" i="87"/>
  <c r="R24" i="87"/>
  <c r="F26" i="87"/>
  <c r="V26" i="87"/>
  <c r="R27" i="87"/>
  <c r="R33" i="87"/>
  <c r="P16" i="88"/>
  <c r="R21" i="88"/>
  <c r="V23" i="88"/>
  <c r="R24" i="88"/>
  <c r="J25" i="88"/>
  <c r="R28" i="88"/>
  <c r="D17" i="89"/>
  <c r="J19" i="89"/>
  <c r="J21" i="89"/>
  <c r="X18" i="90"/>
  <c r="Z18" i="90" s="1"/>
  <c r="F28" i="90"/>
  <c r="N39" i="90"/>
  <c r="L39" i="90"/>
  <c r="F29" i="91"/>
  <c r="F24" i="91"/>
  <c r="F67" i="91"/>
  <c r="F55" i="91"/>
  <c r="F52" i="91"/>
  <c r="F47" i="91"/>
  <c r="F44" i="91"/>
  <c r="F39" i="91"/>
  <c r="F28" i="91"/>
  <c r="F21" i="91"/>
  <c r="F34" i="91"/>
  <c r="F27" i="91"/>
  <c r="D21" i="91"/>
  <c r="F19" i="91"/>
  <c r="F70" i="91"/>
  <c r="F65" i="91"/>
  <c r="F37" i="91"/>
  <c r="F33" i="91"/>
  <c r="F74" i="91"/>
  <c r="F68" i="91"/>
  <c r="F64" i="91"/>
  <c r="F60" i="91"/>
  <c r="F56" i="91"/>
  <c r="F51" i="91"/>
  <c r="F48" i="91"/>
  <c r="F43" i="91"/>
  <c r="F40" i="91"/>
  <c r="F36" i="91"/>
  <c r="F32" i="91"/>
  <c r="F23" i="91"/>
  <c r="F41" i="91"/>
  <c r="F38" i="91"/>
  <c r="F54" i="91"/>
  <c r="F53" i="91"/>
  <c r="F42" i="91"/>
  <c r="F35" i="91"/>
  <c r="F66" i="91"/>
  <c r="F63" i="91"/>
  <c r="F58" i="91"/>
  <c r="F50" i="91"/>
  <c r="F25" i="91"/>
  <c r="F17" i="91"/>
  <c r="L12" i="91"/>
  <c r="N12" i="91" s="1"/>
  <c r="F59" i="91"/>
  <c r="Z14" i="91"/>
  <c r="L17" i="91"/>
  <c r="N17" i="91" s="1"/>
  <c r="P21" i="91"/>
  <c r="F62" i="91"/>
  <c r="X14" i="87"/>
  <c r="V27" i="87"/>
  <c r="F31" i="87"/>
  <c r="V31" i="87"/>
  <c r="V33" i="87"/>
  <c r="F38" i="87"/>
  <c r="V38" i="87"/>
  <c r="R23" i="89"/>
  <c r="N28" i="90"/>
  <c r="L28" i="90"/>
  <c r="F51" i="90"/>
  <c r="J25" i="91"/>
  <c r="F31" i="91"/>
  <c r="X34" i="91"/>
  <c r="F49" i="91"/>
  <c r="J62" i="91"/>
  <c r="L16" i="92"/>
  <c r="H57" i="86"/>
  <c r="N12" i="87"/>
  <c r="J14" i="87"/>
  <c r="R16" i="87"/>
  <c r="J18" i="87"/>
  <c r="J20" i="87"/>
  <c r="F21" i="87"/>
  <c r="R22" i="87"/>
  <c r="F24" i="87"/>
  <c r="V24" i="87"/>
  <c r="R25" i="87"/>
  <c r="J26" i="87"/>
  <c r="R19" i="88"/>
  <c r="V21" i="88"/>
  <c r="R22" i="88"/>
  <c r="J23" i="88"/>
  <c r="R30" i="88"/>
  <c r="F26" i="89"/>
  <c r="R33" i="90"/>
  <c r="R30" i="90"/>
  <c r="R21" i="90"/>
  <c r="R18" i="90"/>
  <c r="R14" i="90"/>
  <c r="R36" i="90"/>
  <c r="R20" i="90"/>
  <c r="R48" i="90"/>
  <c r="R42" i="90"/>
  <c r="R35" i="90"/>
  <c r="R32" i="90"/>
  <c r="R27" i="90"/>
  <c r="R46" i="90"/>
  <c r="R40" i="90"/>
  <c r="R37" i="90"/>
  <c r="R24" i="90"/>
  <c r="P16" i="90"/>
  <c r="R51" i="90"/>
  <c r="R44" i="90"/>
  <c r="R31" i="90"/>
  <c r="R28" i="90"/>
  <c r="R23" i="90"/>
  <c r="X14" i="90"/>
  <c r="T16" i="90"/>
  <c r="F21" i="90"/>
  <c r="F22" i="90"/>
  <c r="R29" i="90"/>
  <c r="Z34" i="90"/>
  <c r="X34" i="90"/>
  <c r="R65" i="91"/>
  <c r="R37" i="91"/>
  <c r="R33" i="91"/>
  <c r="R25" i="91"/>
  <c r="R74" i="91"/>
  <c r="R68" i="91"/>
  <c r="R64" i="91"/>
  <c r="R60" i="91"/>
  <c r="R56" i="91"/>
  <c r="R53" i="91"/>
  <c r="R48" i="91"/>
  <c r="R45" i="91"/>
  <c r="R40" i="91"/>
  <c r="R36" i="91"/>
  <c r="R32" i="91"/>
  <c r="R17" i="91"/>
  <c r="R63" i="91"/>
  <c r="R59" i="91"/>
  <c r="R35" i="91"/>
  <c r="R31" i="91"/>
  <c r="R24" i="91"/>
  <c r="R34" i="91"/>
  <c r="R29" i="91"/>
  <c r="R61" i="91"/>
  <c r="R57" i="91"/>
  <c r="R52" i="91"/>
  <c r="R49" i="91"/>
  <c r="R44" i="91"/>
  <c r="R41" i="91"/>
  <c r="R28" i="91"/>
  <c r="R62" i="91"/>
  <c r="R18" i="91"/>
  <c r="R67" i="91"/>
  <c r="R58" i="91"/>
  <c r="R50" i="91"/>
  <c r="R46" i="91"/>
  <c r="R19" i="91"/>
  <c r="R51" i="91"/>
  <c r="R39" i="91"/>
  <c r="R21" i="91"/>
  <c r="R55" i="91"/>
  <c r="R43" i="91"/>
  <c r="R42" i="91"/>
  <c r="R38" i="91"/>
  <c r="R27" i="91"/>
  <c r="R47" i="91"/>
  <c r="J24" i="91"/>
  <c r="F30" i="91"/>
  <c r="Z34" i="91"/>
  <c r="N16" i="92"/>
  <c r="H24" i="92"/>
  <c r="Z16" i="92"/>
  <c r="T24" i="92"/>
  <c r="D16" i="87"/>
  <c r="T16" i="87"/>
  <c r="R19" i="87"/>
  <c r="J21" i="87"/>
  <c r="V25" i="87"/>
  <c r="R29" i="87"/>
  <c r="J31" i="87"/>
  <c r="R35" i="87"/>
  <c r="J38" i="87"/>
  <c r="V37" i="88"/>
  <c r="V32" i="88"/>
  <c r="V30" i="88"/>
  <c r="V16" i="88"/>
  <c r="X21" i="88"/>
  <c r="Z21" i="88" s="1"/>
  <c r="V22" i="88"/>
  <c r="L23" i="88"/>
  <c r="N23" i="88" s="1"/>
  <c r="J26" i="88"/>
  <c r="J37" i="88"/>
  <c r="F41" i="89"/>
  <c r="F35" i="89"/>
  <c r="F24" i="89"/>
  <c r="F17" i="89"/>
  <c r="F32" i="89"/>
  <c r="F29" i="89"/>
  <c r="F21" i="89"/>
  <c r="F19" i="89"/>
  <c r="L12" i="89"/>
  <c r="R17" i="89"/>
  <c r="R20" i="89"/>
  <c r="R21" i="89"/>
  <c r="F25" i="89"/>
  <c r="F27" i="89"/>
  <c r="F28" i="89"/>
  <c r="F31" i="89"/>
  <c r="F33" i="89"/>
  <c r="F39" i="89"/>
  <c r="F26" i="90"/>
  <c r="Z28" i="90"/>
  <c r="R39" i="90"/>
  <c r="F44" i="90"/>
  <c r="Z17" i="91"/>
  <c r="X17" i="91"/>
  <c r="F61" i="91"/>
  <c r="J67" i="91"/>
  <c r="F16" i="87"/>
  <c r="V16" i="87"/>
  <c r="F22" i="87"/>
  <c r="F27" i="87"/>
  <c r="X12" i="88"/>
  <c r="V19" i="88"/>
  <c r="R20" i="88"/>
  <c r="J21" i="88"/>
  <c r="R25" i="88"/>
  <c r="J39" i="89"/>
  <c r="J33" i="89"/>
  <c r="J25" i="89"/>
  <c r="J17" i="89"/>
  <c r="J44" i="89"/>
  <c r="J37" i="89"/>
  <c r="J27" i="89"/>
  <c r="J23" i="89"/>
  <c r="J15" i="89"/>
  <c r="J26" i="89"/>
  <c r="J14" i="89"/>
  <c r="N12" i="89"/>
  <c r="J41" i="89"/>
  <c r="J35" i="89"/>
  <c r="J31" i="89"/>
  <c r="J29" i="89"/>
  <c r="J30" i="89"/>
  <c r="X35" i="89"/>
  <c r="X12" i="90"/>
  <c r="R22" i="90"/>
  <c r="X30" i="90"/>
  <c r="R38" i="90"/>
  <c r="N15" i="91"/>
  <c r="R23" i="91"/>
  <c r="J43" i="91"/>
  <c r="X26" i="89"/>
  <c r="Z26" i="89" s="1"/>
  <c r="L28" i="89"/>
  <c r="N28" i="89" s="1"/>
  <c r="V14" i="90"/>
  <c r="V18" i="90"/>
  <c r="V22" i="90"/>
  <c r="J26" i="90"/>
  <c r="V30" i="90"/>
  <c r="J32" i="90"/>
  <c r="J38" i="90"/>
  <c r="J42" i="90"/>
  <c r="J48" i="90"/>
  <c r="N23" i="91"/>
  <c r="V31" i="92"/>
  <c r="V22" i="92"/>
  <c r="V28" i="92"/>
  <c r="V18" i="92"/>
  <c r="V14" i="92"/>
  <c r="V26" i="92"/>
  <c r="V24" i="92"/>
  <c r="V20" i="92"/>
  <c r="Z12" i="92"/>
  <c r="V19" i="92"/>
  <c r="X14" i="93"/>
  <c r="Z15" i="93"/>
  <c r="Z59" i="93"/>
  <c r="V23" i="90"/>
  <c r="J27" i="90"/>
  <c r="V31" i="90"/>
  <c r="J35" i="90"/>
  <c r="V39" i="90"/>
  <c r="L13" i="93"/>
  <c r="D12" i="93"/>
  <c r="Z14" i="93"/>
  <c r="X23" i="93"/>
  <c r="Z23" i="93"/>
  <c r="R57" i="94"/>
  <c r="R33" i="94"/>
  <c r="R28" i="94"/>
  <c r="R51" i="94"/>
  <c r="R48" i="94"/>
  <c r="R43" i="94"/>
  <c r="R40" i="94"/>
  <c r="R27" i="94"/>
  <c r="R65" i="94"/>
  <c r="R26" i="94"/>
  <c r="R69" i="94"/>
  <c r="R63" i="94"/>
  <c r="R59" i="94"/>
  <c r="R55" i="94"/>
  <c r="R52" i="94"/>
  <c r="R47" i="94"/>
  <c r="R44" i="94"/>
  <c r="R39" i="94"/>
  <c r="R35" i="94"/>
  <c r="R31" i="94"/>
  <c r="R58" i="94"/>
  <c r="R34" i="94"/>
  <c r="R30" i="94"/>
  <c r="R23" i="94"/>
  <c r="R17" i="94"/>
  <c r="R18" i="94"/>
  <c r="R25" i="94"/>
  <c r="R24" i="94"/>
  <c r="R16" i="94"/>
  <c r="R54" i="94"/>
  <c r="R53" i="94"/>
  <c r="R46" i="94"/>
  <c r="R45" i="94"/>
  <c r="R22" i="94"/>
  <c r="P20" i="94"/>
  <c r="R20" i="94" s="1"/>
  <c r="R29" i="94"/>
  <c r="R62" i="94"/>
  <c r="R61" i="94"/>
  <c r="R60" i="94"/>
  <c r="R38" i="94"/>
  <c r="R37" i="94"/>
  <c r="R36" i="94"/>
  <c r="R32" i="94"/>
  <c r="X12" i="94"/>
  <c r="R50" i="94"/>
  <c r="R49" i="94"/>
  <c r="R42" i="94"/>
  <c r="R41" i="94"/>
  <c r="R56" i="94"/>
  <c r="V16" i="90"/>
  <c r="J22" i="90"/>
  <c r="V26" i="90"/>
  <c r="J28" i="90"/>
  <c r="V34" i="90"/>
  <c r="V38" i="90"/>
  <c r="J44" i="90"/>
  <c r="J51" i="90"/>
  <c r="T12" i="91"/>
  <c r="X12" i="91" s="1"/>
  <c r="L70" i="91"/>
  <c r="V16" i="92"/>
  <c r="T12" i="93"/>
  <c r="Z22" i="95"/>
  <c r="F31" i="92"/>
  <c r="F28" i="92"/>
  <c r="F22" i="92"/>
  <c r="F26" i="92"/>
  <c r="F20" i="92"/>
  <c r="L12" i="92"/>
  <c r="F18" i="92"/>
  <c r="F14" i="92"/>
  <c r="F24" i="92"/>
  <c r="F19" i="92"/>
  <c r="V32" i="90"/>
  <c r="J34" i="90"/>
  <c r="V36" i="90"/>
  <c r="J40" i="90"/>
  <c r="V42" i="90"/>
  <c r="X15" i="91"/>
  <c r="Z15" i="91" s="1"/>
  <c r="Z49" i="91"/>
  <c r="Z51" i="91"/>
  <c r="Z57" i="91"/>
  <c r="Z14" i="92"/>
  <c r="X14" i="92"/>
  <c r="N13" i="93"/>
  <c r="J18" i="93"/>
  <c r="X24" i="93"/>
  <c r="Z24" i="93" s="1"/>
  <c r="J40" i="93"/>
  <c r="Z42" i="93"/>
  <c r="X48" i="93"/>
  <c r="Z48" i="93" s="1"/>
  <c r="Z63" i="93"/>
  <c r="F29" i="94"/>
  <c r="J69" i="93"/>
  <c r="J63" i="93"/>
  <c r="J59" i="93"/>
  <c r="J53" i="93"/>
  <c r="J45" i="93"/>
  <c r="J29" i="93"/>
  <c r="J68" i="93"/>
  <c r="J50" i="93"/>
  <c r="J42" i="93"/>
  <c r="J34" i="93"/>
  <c r="J28" i="93"/>
  <c r="H21" i="93"/>
  <c r="J21" i="93" s="1"/>
  <c r="J75" i="93"/>
  <c r="J71" i="93"/>
  <c r="J67" i="93"/>
  <c r="J55" i="93"/>
  <c r="J79" i="93"/>
  <c r="J73" i="93"/>
  <c r="J70" i="93"/>
  <c r="J64" i="93"/>
  <c r="J60" i="93"/>
  <c r="J54" i="93"/>
  <c r="J46" i="93"/>
  <c r="J36" i="93"/>
  <c r="J32" i="93"/>
  <c r="J51" i="93"/>
  <c r="J43" i="93"/>
  <c r="J35" i="93"/>
  <c r="J31" i="93"/>
  <c r="J17" i="93"/>
  <c r="P12" i="93"/>
  <c r="J27" i="93"/>
  <c r="J38" i="93"/>
  <c r="N52" i="93"/>
  <c r="L52" i="93"/>
  <c r="N16" i="94"/>
  <c r="L16" i="94"/>
  <c r="V17" i="94"/>
  <c r="Z16" i="95"/>
  <c r="T24" i="95"/>
  <c r="J24" i="92"/>
  <c r="X13" i="93"/>
  <c r="Z13" i="93" s="1"/>
  <c r="J26" i="93"/>
  <c r="J30" i="93"/>
  <c r="X34" i="93"/>
  <c r="Z34" i="93" s="1"/>
  <c r="J37" i="93"/>
  <c r="J58" i="93"/>
  <c r="J69" i="94"/>
  <c r="J63" i="94"/>
  <c r="J59" i="94"/>
  <c r="J55" i="94"/>
  <c r="J47" i="94"/>
  <c r="J39" i="94"/>
  <c r="J35" i="94"/>
  <c r="J31" i="94"/>
  <c r="J58" i="94"/>
  <c r="J52" i="94"/>
  <c r="J44" i="94"/>
  <c r="J34" i="94"/>
  <c r="J30" i="94"/>
  <c r="J74" i="94"/>
  <c r="J67" i="94"/>
  <c r="J49" i="94"/>
  <c r="J41" i="94"/>
  <c r="J29" i="94"/>
  <c r="J23" i="94"/>
  <c r="J48" i="94"/>
  <c r="J40" i="94"/>
  <c r="J26" i="94"/>
  <c r="J18" i="94"/>
  <c r="J71" i="94"/>
  <c r="J65" i="94"/>
  <c r="J61" i="94"/>
  <c r="J53" i="94"/>
  <c r="J45" i="94"/>
  <c r="J37" i="94"/>
  <c r="J25" i="94"/>
  <c r="J57" i="94"/>
  <c r="J50" i="94"/>
  <c r="J42" i="94"/>
  <c r="J36" i="94"/>
  <c r="N12" i="94"/>
  <c r="J27" i="94"/>
  <c r="J56" i="94"/>
  <c r="J51" i="94"/>
  <c r="J43" i="94"/>
  <c r="J17" i="94"/>
  <c r="J28" i="94"/>
  <c r="J24" i="94"/>
  <c r="J54" i="94"/>
  <c r="J46" i="94"/>
  <c r="J22" i="94"/>
  <c r="J20" i="94"/>
  <c r="H20" i="94"/>
  <c r="J16" i="94"/>
  <c r="J62" i="94"/>
  <c r="R18" i="95"/>
  <c r="R14" i="95"/>
  <c r="X12" i="95"/>
  <c r="R28" i="95"/>
  <c r="R22" i="95"/>
  <c r="R26" i="95"/>
  <c r="P16" i="95"/>
  <c r="R31" i="95"/>
  <c r="R24" i="95"/>
  <c r="R21" i="95"/>
  <c r="R16" i="95"/>
  <c r="R20" i="95"/>
  <c r="L53" i="96"/>
  <c r="N53" i="96" s="1"/>
  <c r="D52" i="96"/>
  <c r="L34" i="93"/>
  <c r="N34" i="93" s="1"/>
  <c r="J66" i="93"/>
  <c r="J72" i="93"/>
  <c r="J33" i="94"/>
  <c r="J38" i="94"/>
  <c r="N12" i="92"/>
  <c r="J14" i="92"/>
  <c r="J18" i="92"/>
  <c r="J20" i="92"/>
  <c r="J25" i="93"/>
  <c r="J49" i="93"/>
  <c r="X59" i="93"/>
  <c r="J62" i="93"/>
  <c r="X50" i="93"/>
  <c r="Z50" i="93" s="1"/>
  <c r="F65" i="94"/>
  <c r="F60" i="94"/>
  <c r="F56" i="94"/>
  <c r="F36" i="94"/>
  <c r="F32" i="94"/>
  <c r="F69" i="94"/>
  <c r="F63" i="94"/>
  <c r="F59" i="94"/>
  <c r="F55" i="94"/>
  <c r="F50" i="94"/>
  <c r="F47" i="94"/>
  <c r="F42" i="94"/>
  <c r="F39" i="94"/>
  <c r="F35" i="94"/>
  <c r="F31" i="94"/>
  <c r="F22" i="94"/>
  <c r="F58" i="94"/>
  <c r="F34" i="94"/>
  <c r="F30" i="94"/>
  <c r="F62" i="94"/>
  <c r="F54" i="94"/>
  <c r="F51" i="94"/>
  <c r="F46" i="94"/>
  <c r="F43" i="94"/>
  <c r="F38" i="94"/>
  <c r="F27" i="94"/>
  <c r="F57" i="94"/>
  <c r="F33" i="94"/>
  <c r="F26" i="94"/>
  <c r="D20" i="94"/>
  <c r="F18" i="94"/>
  <c r="F61" i="94"/>
  <c r="F37" i="94"/>
  <c r="F16" i="94"/>
  <c r="F49" i="94"/>
  <c r="F48" i="94"/>
  <c r="F41" i="94"/>
  <c r="F40" i="94"/>
  <c r="L12" i="94"/>
  <c r="F17" i="94"/>
  <c r="F52" i="94"/>
  <c r="F44" i="94"/>
  <c r="F28" i="94"/>
  <c r="F25" i="94"/>
  <c r="F24" i="94"/>
  <c r="F23" i="94"/>
  <c r="F53" i="94"/>
  <c r="F45" i="94"/>
  <c r="V71" i="94"/>
  <c r="V65" i="94"/>
  <c r="V51" i="94"/>
  <c r="V43" i="94"/>
  <c r="V27" i="94"/>
  <c r="V50" i="94"/>
  <c r="V42" i="94"/>
  <c r="V26" i="94"/>
  <c r="V22" i="94"/>
  <c r="V18" i="94"/>
  <c r="V61" i="94"/>
  <c r="V53" i="94"/>
  <c r="V45" i="94"/>
  <c r="V37" i="94"/>
  <c r="V25" i="94"/>
  <c r="V62" i="94"/>
  <c r="V58" i="94"/>
  <c r="V54" i="94"/>
  <c r="V46" i="94"/>
  <c r="V38" i="94"/>
  <c r="V34" i="94"/>
  <c r="V30" i="94"/>
  <c r="V20" i="94"/>
  <c r="V57" i="94"/>
  <c r="V49" i="94"/>
  <c r="V41" i="94"/>
  <c r="V33" i="94"/>
  <c r="V29" i="94"/>
  <c r="T20" i="94"/>
  <c r="V69" i="94"/>
  <c r="V52" i="94"/>
  <c r="V44" i="94"/>
  <c r="V23" i="94"/>
  <c r="V16" i="94"/>
  <c r="V24" i="94"/>
  <c r="V31" i="94"/>
  <c r="V28" i="94"/>
  <c r="V59" i="94"/>
  <c r="V48" i="94"/>
  <c r="V40" i="94"/>
  <c r="V35" i="94"/>
  <c r="V67" i="94"/>
  <c r="V60" i="94"/>
  <c r="V36" i="94"/>
  <c r="V32" i="94"/>
  <c r="Z12" i="94"/>
  <c r="V55" i="94"/>
  <c r="V47" i="94"/>
  <c r="V74" i="94"/>
  <c r="V56" i="94"/>
  <c r="V39" i="94"/>
  <c r="N14" i="94"/>
  <c r="N22" i="94"/>
  <c r="N46" i="94"/>
  <c r="N54" i="94"/>
  <c r="L54" i="94"/>
  <c r="X57" i="94"/>
  <c r="Z57" i="94" s="1"/>
  <c r="Z14" i="95"/>
  <c r="Z20" i="95"/>
  <c r="X22" i="95"/>
  <c r="L19" i="96"/>
  <c r="N19" i="96" s="1"/>
  <c r="F22" i="96"/>
  <c r="F39" i="96"/>
  <c r="Z34" i="97"/>
  <c r="X34" i="97"/>
  <c r="X33" i="94"/>
  <c r="Z33" i="94" s="1"/>
  <c r="L65" i="94"/>
  <c r="D16" i="95"/>
  <c r="R49" i="96"/>
  <c r="R44" i="96"/>
  <c r="R41" i="96"/>
  <c r="R36" i="96"/>
  <c r="R32" i="96"/>
  <c r="R28" i="96"/>
  <c r="R57" i="96"/>
  <c r="R46" i="96"/>
  <c r="R43" i="96"/>
  <c r="R38" i="96"/>
  <c r="R35" i="96"/>
  <c r="R30" i="96"/>
  <c r="R26" i="96"/>
  <c r="R53" i="96"/>
  <c r="R50" i="96"/>
  <c r="R47" i="96"/>
  <c r="R42" i="96"/>
  <c r="R39" i="96"/>
  <c r="R34" i="96"/>
  <c r="R33" i="96"/>
  <c r="R45" i="96"/>
  <c r="R31" i="96"/>
  <c r="R21" i="96"/>
  <c r="R52" i="96"/>
  <c r="R37" i="96"/>
  <c r="X12" i="96"/>
  <c r="Z12" i="96" s="1"/>
  <c r="R20" i="96"/>
  <c r="R48" i="96"/>
  <c r="R24" i="96"/>
  <c r="R40" i="96"/>
  <c r="R29" i="96"/>
  <c r="R27" i="96"/>
  <c r="R23" i="96"/>
  <c r="F21" i="96"/>
  <c r="T52" i="96"/>
  <c r="X53" i="96"/>
  <c r="Z53" i="96" s="1"/>
  <c r="N23" i="94"/>
  <c r="N21" i="95"/>
  <c r="H20" i="95"/>
  <c r="Z39" i="96"/>
  <c r="X39" i="96"/>
  <c r="X47" i="96"/>
  <c r="Z47" i="96" s="1"/>
  <c r="Z15" i="99"/>
  <c r="T18" i="99"/>
  <c r="X44" i="94"/>
  <c r="X52" i="94"/>
  <c r="F28" i="95"/>
  <c r="F22" i="95"/>
  <c r="F26" i="95"/>
  <c r="F20" i="95"/>
  <c r="F16" i="95"/>
  <c r="F21" i="95"/>
  <c r="L12" i="95"/>
  <c r="F18" i="95"/>
  <c r="F14" i="95"/>
  <c r="L15" i="96"/>
  <c r="R19" i="96"/>
  <c r="N49" i="96"/>
  <c r="L49" i="96"/>
  <c r="J21" i="99"/>
  <c r="J18" i="99"/>
  <c r="J36" i="99"/>
  <c r="J33" i="99"/>
  <c r="J29" i="99"/>
  <c r="J25" i="99"/>
  <c r="H18" i="99"/>
  <c r="J15" i="99"/>
  <c r="J22" i="99"/>
  <c r="N12" i="99"/>
  <c r="J34" i="99"/>
  <c r="J31" i="99"/>
  <c r="J27" i="99"/>
  <c r="J24" i="99"/>
  <c r="J16" i="99"/>
  <c r="J20" i="99"/>
  <c r="L12" i="99"/>
  <c r="L38" i="94"/>
  <c r="L62" i="94"/>
  <c r="X14" i="95"/>
  <c r="P17" i="96"/>
  <c r="Z16" i="97"/>
  <c r="X16" i="97"/>
  <c r="N62" i="94"/>
  <c r="F48" i="96"/>
  <c r="F43" i="96"/>
  <c r="F40" i="96"/>
  <c r="F35" i="96"/>
  <c r="F52" i="96"/>
  <c r="F50" i="96"/>
  <c r="F45" i="96"/>
  <c r="F42" i="96"/>
  <c r="F37" i="96"/>
  <c r="F34" i="96"/>
  <c r="F29" i="96"/>
  <c r="F49" i="96"/>
  <c r="F46" i="96"/>
  <c r="F41" i="96"/>
  <c r="F38" i="96"/>
  <c r="F30" i="96"/>
  <c r="F25" i="96"/>
  <c r="F20" i="96"/>
  <c r="F27" i="96"/>
  <c r="F26" i="96"/>
  <c r="F24" i="96"/>
  <c r="F28" i="96"/>
  <c r="F23" i="96"/>
  <c r="D17" i="96"/>
  <c r="F17" i="96" s="1"/>
  <c r="F57" i="96"/>
  <c r="F32" i="96"/>
  <c r="F19" i="96"/>
  <c r="F15" i="96"/>
  <c r="L12" i="96"/>
  <c r="N12" i="96" s="1"/>
  <c r="F53" i="96"/>
  <c r="F47" i="96"/>
  <c r="F33" i="96"/>
  <c r="Z20" i="96"/>
  <c r="L42" i="94"/>
  <c r="N42" i="94" s="1"/>
  <c r="L50" i="94"/>
  <c r="N50" i="94" s="1"/>
  <c r="V18" i="95"/>
  <c r="J22" i="95"/>
  <c r="J28" i="95"/>
  <c r="J45" i="96"/>
  <c r="J37" i="96"/>
  <c r="J29" i="96"/>
  <c r="J50" i="96"/>
  <c r="J42" i="96"/>
  <c r="J53" i="96"/>
  <c r="J47" i="96"/>
  <c r="J39" i="96"/>
  <c r="J33" i="96"/>
  <c r="J43" i="96"/>
  <c r="J35" i="96"/>
  <c r="J52" i="96"/>
  <c r="J48" i="96"/>
  <c r="J40" i="96"/>
  <c r="J20" i="96"/>
  <c r="V22" i="96"/>
  <c r="V28" i="96"/>
  <c r="V34" i="96"/>
  <c r="J38" i="96"/>
  <c r="V42" i="96"/>
  <c r="J49" i="96"/>
  <c r="V50" i="96"/>
  <c r="Z20" i="97"/>
  <c r="X20" i="97"/>
  <c r="H18" i="98"/>
  <c r="L33" i="98"/>
  <c r="X29" i="99"/>
  <c r="X33" i="99"/>
  <c r="V21" i="95"/>
  <c r="V23" i="96"/>
  <c r="V26" i="96"/>
  <c r="Z29" i="96"/>
  <c r="V40" i="96"/>
  <c r="J46" i="96"/>
  <c r="N47" i="96"/>
  <c r="H52" i="96"/>
  <c r="X24" i="98"/>
  <c r="Z25" i="99"/>
  <c r="X25" i="99"/>
  <c r="V16" i="95"/>
  <c r="V20" i="95"/>
  <c r="J24" i="95"/>
  <c r="J31" i="95"/>
  <c r="V57" i="96"/>
  <c r="V43" i="96"/>
  <c r="V35" i="96"/>
  <c r="V31" i="96"/>
  <c r="V27" i="96"/>
  <c r="V46" i="96"/>
  <c r="V38" i="96"/>
  <c r="V45" i="96"/>
  <c r="V37" i="96"/>
  <c r="V29" i="96"/>
  <c r="V25" i="96"/>
  <c r="V49" i="96"/>
  <c r="V41" i="96"/>
  <c r="V33" i="96"/>
  <c r="V44" i="96"/>
  <c r="V36" i="96"/>
  <c r="V32" i="96"/>
  <c r="T17" i="96"/>
  <c r="J22" i="96"/>
  <c r="J30" i="96"/>
  <c r="J31" i="96"/>
  <c r="J36" i="96"/>
  <c r="X37" i="96"/>
  <c r="J44" i="96"/>
  <c r="V47" i="96"/>
  <c r="V53" i="96"/>
  <c r="V36" i="97"/>
  <c r="V33" i="97"/>
  <c r="V29" i="97"/>
  <c r="V25" i="97"/>
  <c r="T18" i="97"/>
  <c r="V15" i="97"/>
  <c r="V22" i="97"/>
  <c r="V21" i="97"/>
  <c r="V18" i="97"/>
  <c r="V16" i="97"/>
  <c r="V17" i="96"/>
  <c r="J23" i="96"/>
  <c r="J28" i="96"/>
  <c r="N29" i="96"/>
  <c r="J34" i="96"/>
  <c r="X45" i="96"/>
  <c r="N24" i="97"/>
  <c r="L24" i="97"/>
  <c r="R36" i="98"/>
  <c r="R33" i="98"/>
  <c r="R29" i="98"/>
  <c r="R25" i="98"/>
  <c r="P18" i="98"/>
  <c r="R15" i="98"/>
  <c r="R22" i="98"/>
  <c r="X12" i="98"/>
  <c r="R21" i="98"/>
  <c r="R18" i="98"/>
  <c r="L21" i="98"/>
  <c r="X15" i="99"/>
  <c r="Z12" i="95"/>
  <c r="J16" i="95"/>
  <c r="J20" i="95"/>
  <c r="V22" i="95"/>
  <c r="H17" i="96"/>
  <c r="V20" i="96"/>
  <c r="J24" i="96"/>
  <c r="J26" i="96"/>
  <c r="J27" i="96"/>
  <c r="Z37" i="96"/>
  <c r="L39" i="96"/>
  <c r="N39" i="96" s="1"/>
  <c r="N41" i="96"/>
  <c r="Z12" i="97"/>
  <c r="L21" i="97"/>
  <c r="V20" i="98"/>
  <c r="V16" i="98"/>
  <c r="Z12" i="98"/>
  <c r="V34" i="98"/>
  <c r="V31" i="98"/>
  <c r="V27" i="98"/>
  <c r="V36" i="98"/>
  <c r="V33" i="98"/>
  <c r="V29" i="98"/>
  <c r="V25" i="98"/>
  <c r="T18" i="98"/>
  <c r="V15" i="98"/>
  <c r="V22" i="98"/>
  <c r="L25" i="98"/>
  <c r="R27" i="98"/>
  <c r="N12" i="97"/>
  <c r="F18" i="97"/>
  <c r="J22" i="97"/>
  <c r="R24" i="97"/>
  <c r="J16" i="98"/>
  <c r="J20" i="98"/>
  <c r="F22" i="98"/>
  <c r="Z12" i="99"/>
  <c r="F16" i="99"/>
  <c r="V16" i="99"/>
  <c r="F20" i="99"/>
  <c r="V20" i="99"/>
  <c r="R22" i="99"/>
  <c r="J15" i="97"/>
  <c r="H18" i="97"/>
  <c r="F21" i="97"/>
  <c r="J25" i="97"/>
  <c r="R27" i="97"/>
  <c r="J29" i="97"/>
  <c r="R31" i="97"/>
  <c r="J33" i="97"/>
  <c r="R34" i="97"/>
  <c r="J36" i="97"/>
  <c r="L12" i="98"/>
  <c r="F15" i="98"/>
  <c r="D18" i="98"/>
  <c r="F25" i="98"/>
  <c r="F29" i="98"/>
  <c r="F33" i="98"/>
  <c r="F36" i="98"/>
  <c r="R25" i="99"/>
  <c r="R29" i="99"/>
  <c r="R33" i="99"/>
  <c r="R36" i="99"/>
  <c r="F18" i="99"/>
  <c r="V18" i="99"/>
  <c r="R24" i="99"/>
  <c r="P18" i="97"/>
  <c r="R25" i="97"/>
  <c r="J27" i="97"/>
  <c r="R29" i="97"/>
  <c r="J31" i="97"/>
  <c r="R33" i="97"/>
  <c r="J34" i="97"/>
  <c r="R36" i="97"/>
  <c r="J21" i="98"/>
  <c r="F27" i="98"/>
  <c r="F31" i="98"/>
  <c r="F34" i="98"/>
  <c r="F21" i="99"/>
  <c r="V21" i="99"/>
  <c r="R27" i="99"/>
  <c r="R31" i="99"/>
  <c r="R34" i="99"/>
  <c r="J16" i="97"/>
  <c r="J20" i="97"/>
  <c r="F22" i="97"/>
  <c r="F16" i="98"/>
  <c r="J24" i="98"/>
  <c r="F24" i="99"/>
  <c r="V24" i="99"/>
  <c r="F15" i="97"/>
  <c r="D18" i="97"/>
  <c r="F25" i="97"/>
  <c r="F29" i="97"/>
  <c r="F33" i="97"/>
  <c r="J27" i="98"/>
  <c r="J31" i="98"/>
  <c r="F27" i="99"/>
  <c r="V27" i="99"/>
  <c r="F31" i="99"/>
  <c r="V31" i="99"/>
  <c r="N27" i="19" l="1"/>
  <c r="Z18" i="20"/>
  <c r="X18" i="34"/>
  <c r="X18" i="22"/>
  <c r="X18" i="10"/>
  <c r="N18" i="11"/>
  <c r="X18" i="17"/>
  <c r="T31" i="43"/>
  <c r="T36" i="43" s="1"/>
  <c r="Z36" i="43" s="1"/>
  <c r="N18" i="43"/>
  <c r="N27" i="43"/>
  <c r="Z18" i="52"/>
  <c r="Z18" i="43"/>
  <c r="L18" i="14"/>
  <c r="X18" i="50"/>
  <c r="T27" i="47"/>
  <c r="Z27" i="47" s="1"/>
  <c r="N18" i="14"/>
  <c r="H27" i="14"/>
  <c r="L27" i="14" s="1"/>
  <c r="X18" i="99"/>
  <c r="X18" i="31"/>
  <c r="X18" i="16"/>
  <c r="L18" i="41"/>
  <c r="H27" i="50"/>
  <c r="L18" i="44"/>
  <c r="L18" i="47"/>
  <c r="N18" i="47"/>
  <c r="N18" i="13"/>
  <c r="N18" i="4"/>
  <c r="X18" i="43"/>
  <c r="T75" i="70"/>
  <c r="V71" i="70"/>
  <c r="T67" i="94"/>
  <c r="Z20" i="94"/>
  <c r="D67" i="94"/>
  <c r="L20" i="94"/>
  <c r="D44" i="90"/>
  <c r="L16" i="90"/>
  <c r="F108" i="69"/>
  <c r="F101" i="69"/>
  <c r="F92" i="69"/>
  <c r="F81" i="69"/>
  <c r="F74" i="69"/>
  <c r="F65" i="69"/>
  <c r="F121" i="69"/>
  <c r="F115" i="69"/>
  <c r="F111" i="69"/>
  <c r="F104" i="69"/>
  <c r="F100" i="69"/>
  <c r="F80" i="69"/>
  <c r="D74" i="69"/>
  <c r="F72" i="69"/>
  <c r="F64" i="69"/>
  <c r="F107" i="69"/>
  <c r="F103" i="69"/>
  <c r="F94" i="69"/>
  <c r="F91" i="69"/>
  <c r="F86" i="69"/>
  <c r="F79" i="69"/>
  <c r="F71" i="69"/>
  <c r="F63" i="69"/>
  <c r="F117" i="69"/>
  <c r="F114" i="69"/>
  <c r="F110" i="69"/>
  <c r="F106" i="69"/>
  <c r="F97" i="69"/>
  <c r="F90" i="69"/>
  <c r="F78" i="69"/>
  <c r="F70" i="69"/>
  <c r="F122" i="69"/>
  <c r="F96" i="69"/>
  <c r="F87" i="69"/>
  <c r="F59" i="69"/>
  <c r="F118" i="69"/>
  <c r="F82" i="69"/>
  <c r="F66" i="69"/>
  <c r="F60" i="69"/>
  <c r="F58" i="69"/>
  <c r="F53" i="69"/>
  <c r="F120" i="69"/>
  <c r="F109" i="69"/>
  <c r="F99" i="69"/>
  <c r="F98" i="69"/>
  <c r="F88" i="69"/>
  <c r="F83" i="69"/>
  <c r="F67" i="69"/>
  <c r="F57" i="69"/>
  <c r="F126" i="69"/>
  <c r="F102" i="69"/>
  <c r="F89" i="69"/>
  <c r="F68" i="69"/>
  <c r="F61" i="69"/>
  <c r="F56" i="69"/>
  <c r="F112" i="69"/>
  <c r="F105" i="69"/>
  <c r="F84" i="69"/>
  <c r="F62" i="69"/>
  <c r="F55" i="69"/>
  <c r="F116" i="69"/>
  <c r="F54" i="69"/>
  <c r="F113" i="69"/>
  <c r="F93" i="69"/>
  <c r="F76" i="69"/>
  <c r="F69" i="69"/>
  <c r="L12" i="69"/>
  <c r="F95" i="69"/>
  <c r="F77" i="69"/>
  <c r="F85" i="69"/>
  <c r="H62" i="57"/>
  <c r="N16" i="55"/>
  <c r="H30" i="55"/>
  <c r="L18" i="34"/>
  <c r="D27" i="34"/>
  <c r="X21" i="45"/>
  <c r="P83" i="45"/>
  <c r="D24" i="95"/>
  <c r="L16" i="95"/>
  <c r="V79" i="93"/>
  <c r="V73" i="93"/>
  <c r="V65" i="93"/>
  <c r="V61" i="93"/>
  <c r="V57" i="93"/>
  <c r="V49" i="93"/>
  <c r="V41" i="93"/>
  <c r="V37" i="93"/>
  <c r="V33" i="93"/>
  <c r="V25" i="93"/>
  <c r="V17" i="93"/>
  <c r="V72" i="93"/>
  <c r="V64" i="93"/>
  <c r="V60" i="93"/>
  <c r="V56" i="93"/>
  <c r="V48" i="93"/>
  <c r="V40" i="93"/>
  <c r="V36" i="93"/>
  <c r="V32" i="93"/>
  <c r="V24" i="93"/>
  <c r="V63" i="93"/>
  <c r="V59" i="93"/>
  <c r="V51" i="93"/>
  <c r="V75" i="93"/>
  <c r="V68" i="93"/>
  <c r="V52" i="93"/>
  <c r="V44" i="93"/>
  <c r="V28" i="93"/>
  <c r="V71" i="93"/>
  <c r="V67" i="93"/>
  <c r="V55" i="93"/>
  <c r="V47" i="93"/>
  <c r="V39" i="93"/>
  <c r="V27" i="93"/>
  <c r="V23" i="93"/>
  <c r="V19" i="93"/>
  <c r="V66" i="93"/>
  <c r="V58" i="93"/>
  <c r="V54" i="93"/>
  <c r="V31" i="93"/>
  <c r="V26" i="93"/>
  <c r="V53" i="93"/>
  <c r="V46" i="93"/>
  <c r="V38" i="93"/>
  <c r="V70" i="93"/>
  <c r="V42" i="93"/>
  <c r="V35" i="93"/>
  <c r="V45" i="93"/>
  <c r="V43" i="93"/>
  <c r="V62" i="93"/>
  <c r="V29" i="93"/>
  <c r="T21" i="93"/>
  <c r="V50" i="93"/>
  <c r="V30" i="93"/>
  <c r="V69" i="93"/>
  <c r="V18" i="93"/>
  <c r="V34" i="93"/>
  <c r="D72" i="91"/>
  <c r="L21" i="91"/>
  <c r="Z17" i="89"/>
  <c r="T37" i="89"/>
  <c r="H60" i="86"/>
  <c r="N17" i="86"/>
  <c r="H48" i="90"/>
  <c r="N16" i="81"/>
  <c r="H66" i="81"/>
  <c r="D36" i="82"/>
  <c r="D66" i="81"/>
  <c r="L16" i="81"/>
  <c r="D89" i="77"/>
  <c r="P36" i="80"/>
  <c r="X32" i="80"/>
  <c r="N68" i="70"/>
  <c r="R33" i="70"/>
  <c r="R65" i="70"/>
  <c r="R57" i="70"/>
  <c r="R48" i="70"/>
  <c r="R45" i="70"/>
  <c r="R32" i="70"/>
  <c r="R29" i="70"/>
  <c r="R25" i="70"/>
  <c r="R73" i="70"/>
  <c r="R51" i="70"/>
  <c r="R31" i="70"/>
  <c r="R62" i="70"/>
  <c r="R54" i="70"/>
  <c r="R50" i="70"/>
  <c r="R47" i="70"/>
  <c r="R42" i="70"/>
  <c r="R38" i="70"/>
  <c r="R68" i="70"/>
  <c r="R61" i="70"/>
  <c r="R53" i="70"/>
  <c r="R66" i="70"/>
  <c r="R60" i="70"/>
  <c r="R49" i="70"/>
  <c r="R46" i="70"/>
  <c r="R41" i="70"/>
  <c r="R40" i="70"/>
  <c r="R43" i="70"/>
  <c r="R44" i="70"/>
  <c r="R55" i="70"/>
  <c r="R34" i="70"/>
  <c r="R35" i="70"/>
  <c r="R30" i="70"/>
  <c r="R59" i="70"/>
  <c r="R69" i="70"/>
  <c r="R63" i="70"/>
  <c r="R56" i="70"/>
  <c r="R39" i="70"/>
  <c r="R52" i="70"/>
  <c r="P27" i="70"/>
  <c r="X12" i="70"/>
  <c r="Z12" i="70" s="1"/>
  <c r="R36" i="70"/>
  <c r="R64" i="70"/>
  <c r="R37" i="70"/>
  <c r="R58" i="70"/>
  <c r="R27" i="70"/>
  <c r="J104" i="69"/>
  <c r="J100" i="69"/>
  <c r="J94" i="69"/>
  <c r="J86" i="69"/>
  <c r="J80" i="69"/>
  <c r="J72" i="69"/>
  <c r="J64" i="69"/>
  <c r="J117" i="69"/>
  <c r="J107" i="69"/>
  <c r="J103" i="69"/>
  <c r="J97" i="69"/>
  <c r="J91" i="69"/>
  <c r="J79" i="69"/>
  <c r="J71" i="69"/>
  <c r="J63" i="69"/>
  <c r="J122" i="69"/>
  <c r="J114" i="69"/>
  <c r="J110" i="69"/>
  <c r="J106" i="69"/>
  <c r="J90" i="69"/>
  <c r="J78" i="69"/>
  <c r="J76" i="69"/>
  <c r="J70" i="69"/>
  <c r="J62" i="69"/>
  <c r="J113" i="69"/>
  <c r="J109" i="69"/>
  <c r="J99" i="69"/>
  <c r="J93" i="69"/>
  <c r="J89" i="69"/>
  <c r="J85" i="69"/>
  <c r="J69" i="69"/>
  <c r="J121" i="69"/>
  <c r="J120" i="69"/>
  <c r="J118" i="69"/>
  <c r="J82" i="69"/>
  <c r="J81" i="69"/>
  <c r="J66" i="69"/>
  <c r="J60" i="69"/>
  <c r="J58" i="69"/>
  <c r="J102" i="69"/>
  <c r="J98" i="69"/>
  <c r="J88" i="69"/>
  <c r="J83" i="69"/>
  <c r="J67" i="69"/>
  <c r="J57" i="69"/>
  <c r="J126" i="69"/>
  <c r="J108" i="69"/>
  <c r="J105" i="69"/>
  <c r="J68" i="69"/>
  <c r="J61" i="69"/>
  <c r="J56" i="69"/>
  <c r="J112" i="69"/>
  <c r="J111" i="69"/>
  <c r="J101" i="69"/>
  <c r="J84" i="69"/>
  <c r="J77" i="69"/>
  <c r="J74" i="69"/>
  <c r="J55" i="69"/>
  <c r="H74" i="69"/>
  <c r="J54" i="69"/>
  <c r="J53" i="69"/>
  <c r="J92" i="69"/>
  <c r="J87" i="69"/>
  <c r="J59" i="69"/>
  <c r="N12" i="69"/>
  <c r="J116" i="69"/>
  <c r="J96" i="69"/>
  <c r="J95" i="69"/>
  <c r="J115" i="69"/>
  <c r="J65" i="69"/>
  <c r="V101" i="66"/>
  <c r="V87" i="66"/>
  <c r="V83" i="66"/>
  <c r="V75" i="66"/>
  <c r="V63" i="66"/>
  <c r="V59" i="66"/>
  <c r="V99" i="66"/>
  <c r="V89" i="66"/>
  <c r="V85" i="66"/>
  <c r="V77" i="66"/>
  <c r="V69" i="66"/>
  <c r="V102" i="66"/>
  <c r="V92" i="66"/>
  <c r="V88" i="66"/>
  <c r="V80" i="66"/>
  <c r="V72" i="66"/>
  <c r="V68" i="66"/>
  <c r="V95" i="66"/>
  <c r="V91" i="66"/>
  <c r="V79" i="66"/>
  <c r="V71" i="66"/>
  <c r="V67" i="66"/>
  <c r="V97" i="66"/>
  <c r="V94" i="66"/>
  <c r="V62" i="66"/>
  <c r="V54" i="66"/>
  <c r="V46" i="66"/>
  <c r="V38" i="66"/>
  <c r="V100" i="66"/>
  <c r="V81" i="66"/>
  <c r="V64" i="66"/>
  <c r="V53" i="66"/>
  <c r="V45" i="66"/>
  <c r="V37" i="66"/>
  <c r="V82" i="66"/>
  <c r="V44" i="66"/>
  <c r="V36" i="66"/>
  <c r="V90" i="66"/>
  <c r="V70" i="66"/>
  <c r="V65" i="66"/>
  <c r="T50" i="66"/>
  <c r="V50" i="66" s="1"/>
  <c r="V43" i="66"/>
  <c r="V35" i="66"/>
  <c r="V74" i="66"/>
  <c r="V57" i="66"/>
  <c r="V56" i="66"/>
  <c r="V52" i="66"/>
  <c r="V48" i="66"/>
  <c r="V40" i="66"/>
  <c r="V66" i="66"/>
  <c r="V60" i="66"/>
  <c r="V96" i="66"/>
  <c r="V84" i="66"/>
  <c r="V76" i="66"/>
  <c r="V58" i="66"/>
  <c r="V55" i="66"/>
  <c r="V93" i="66"/>
  <c r="V41" i="66"/>
  <c r="V73" i="66"/>
  <c r="V61" i="66"/>
  <c r="V78" i="66"/>
  <c r="V47" i="66"/>
  <c r="V39" i="66"/>
  <c r="V86" i="66"/>
  <c r="V42" i="66"/>
  <c r="V106" i="66"/>
  <c r="J41" i="67"/>
  <c r="J33" i="67"/>
  <c r="J27" i="67"/>
  <c r="J19" i="67"/>
  <c r="J38" i="67"/>
  <c r="J26" i="67"/>
  <c r="J35" i="67"/>
  <c r="J25" i="67"/>
  <c r="J23" i="67"/>
  <c r="J50" i="67"/>
  <c r="J44" i="67"/>
  <c r="J40" i="67"/>
  <c r="J32" i="67"/>
  <c r="J18" i="67"/>
  <c r="J37" i="67"/>
  <c r="J31" i="67"/>
  <c r="H21" i="67"/>
  <c r="J36" i="67"/>
  <c r="J28" i="67"/>
  <c r="J24" i="67"/>
  <c r="N12" i="67"/>
  <c r="J46" i="67"/>
  <c r="J29" i="67"/>
  <c r="J48" i="67"/>
  <c r="J30" i="67"/>
  <c r="J34" i="67"/>
  <c r="J53" i="67"/>
  <c r="J42" i="67"/>
  <c r="J39" i="67"/>
  <c r="J21" i="67"/>
  <c r="F91" i="71"/>
  <c r="F85" i="71"/>
  <c r="F81" i="71"/>
  <c r="F77" i="71"/>
  <c r="F74" i="71"/>
  <c r="F86" i="71"/>
  <c r="F80" i="71"/>
  <c r="F76" i="71"/>
  <c r="F78" i="71"/>
  <c r="F73" i="71"/>
  <c r="F71" i="71"/>
  <c r="F67" i="71"/>
  <c r="F84" i="71"/>
  <c r="F72" i="71"/>
  <c r="F54" i="71"/>
  <c r="F49" i="71"/>
  <c r="F38" i="71"/>
  <c r="F33" i="71"/>
  <c r="F79" i="71"/>
  <c r="F70" i="71"/>
  <c r="F64" i="71"/>
  <c r="F53" i="71"/>
  <c r="F37" i="71"/>
  <c r="F87" i="71"/>
  <c r="F69" i="71"/>
  <c r="F59" i="71"/>
  <c r="F52" i="71"/>
  <c r="D46" i="71"/>
  <c r="F46" i="71" s="1"/>
  <c r="F44" i="71"/>
  <c r="F36" i="71"/>
  <c r="L12" i="71"/>
  <c r="N12" i="71" s="1"/>
  <c r="F66" i="71"/>
  <c r="F63" i="71"/>
  <c r="F51" i="71"/>
  <c r="F43" i="71"/>
  <c r="F35" i="71"/>
  <c r="F62" i="71"/>
  <c r="F58" i="71"/>
  <c r="F50" i="71"/>
  <c r="F42" i="71"/>
  <c r="F34" i="71"/>
  <c r="F56" i="71"/>
  <c r="F39" i="71"/>
  <c r="F60" i="71"/>
  <c r="F48" i="71"/>
  <c r="F57" i="71"/>
  <c r="F40" i="71"/>
  <c r="F61" i="71"/>
  <c r="F75" i="71"/>
  <c r="F68" i="71"/>
  <c r="F65" i="71"/>
  <c r="F41" i="71"/>
  <c r="F55" i="71"/>
  <c r="F82" i="71"/>
  <c r="P49" i="60"/>
  <c r="L16" i="59"/>
  <c r="D49" i="59"/>
  <c r="J71" i="64"/>
  <c r="J67" i="64"/>
  <c r="J63" i="64"/>
  <c r="J59" i="64"/>
  <c r="J51" i="64"/>
  <c r="J45" i="64"/>
  <c r="J27" i="64"/>
  <c r="J66" i="64"/>
  <c r="J62" i="64"/>
  <c r="J56" i="64"/>
  <c r="J50" i="64"/>
  <c r="H35" i="64"/>
  <c r="J75" i="64"/>
  <c r="J69" i="64"/>
  <c r="J65" i="64"/>
  <c r="J53" i="64"/>
  <c r="J58" i="64"/>
  <c r="J44" i="64"/>
  <c r="J40" i="64"/>
  <c r="J32" i="64"/>
  <c r="J24" i="64"/>
  <c r="J57" i="64"/>
  <c r="J29" i="64"/>
  <c r="J23" i="64"/>
  <c r="J64" i="64"/>
  <c r="J42" i="64"/>
  <c r="J41" i="64"/>
  <c r="J33" i="64"/>
  <c r="J43" i="64"/>
  <c r="J47" i="64"/>
  <c r="J38" i="64"/>
  <c r="J39" i="64"/>
  <c r="J37" i="64"/>
  <c r="J26" i="64"/>
  <c r="J25" i="64"/>
  <c r="J68" i="64"/>
  <c r="J61" i="64"/>
  <c r="J49" i="64"/>
  <c r="J48" i="64"/>
  <c r="J46" i="64"/>
  <c r="J28" i="64"/>
  <c r="J55" i="64"/>
  <c r="J30" i="64"/>
  <c r="J52" i="64"/>
  <c r="J60" i="64"/>
  <c r="J31" i="64"/>
  <c r="J54" i="64"/>
  <c r="X18" i="52"/>
  <c r="P27" i="52"/>
  <c r="P27" i="46"/>
  <c r="X18" i="46"/>
  <c r="H27" i="52"/>
  <c r="N18" i="52"/>
  <c r="L18" i="53"/>
  <c r="D27" i="53"/>
  <c r="H27" i="44"/>
  <c r="N18" i="44"/>
  <c r="L18" i="43"/>
  <c r="D27" i="43"/>
  <c r="Z31" i="43"/>
  <c r="R21" i="45"/>
  <c r="T27" i="41"/>
  <c r="Z18" i="41"/>
  <c r="T27" i="40"/>
  <c r="Z18" i="40"/>
  <c r="X18" i="40"/>
  <c r="P27" i="40"/>
  <c r="H27" i="31"/>
  <c r="N18" i="31"/>
  <c r="H27" i="34"/>
  <c r="N18" i="34"/>
  <c r="P31" i="31"/>
  <c r="L18" i="31"/>
  <c r="D27" i="31"/>
  <c r="F70" i="33"/>
  <c r="T27" i="29"/>
  <c r="Z18" i="29"/>
  <c r="F98" i="36"/>
  <c r="P78" i="21"/>
  <c r="R26" i="21"/>
  <c r="H104" i="27"/>
  <c r="L18" i="19"/>
  <c r="D27" i="19"/>
  <c r="X18" i="19"/>
  <c r="P27" i="19"/>
  <c r="V71" i="21"/>
  <c r="V67" i="21"/>
  <c r="V63" i="21"/>
  <c r="V59" i="21"/>
  <c r="V51" i="21"/>
  <c r="V43" i="21"/>
  <c r="V39" i="21"/>
  <c r="V35" i="21"/>
  <c r="T26" i="21"/>
  <c r="V80" i="21"/>
  <c r="V74" i="21"/>
  <c r="V66" i="21"/>
  <c r="V62" i="21"/>
  <c r="V54" i="21"/>
  <c r="V42" i="21"/>
  <c r="V38" i="21"/>
  <c r="V34" i="21"/>
  <c r="V73" i="21"/>
  <c r="V53" i="21"/>
  <c r="V45" i="21"/>
  <c r="V33" i="21"/>
  <c r="V56" i="21"/>
  <c r="V44" i="21"/>
  <c r="V32" i="21"/>
  <c r="V28" i="21"/>
  <c r="V24" i="21"/>
  <c r="V55" i="21"/>
  <c r="V47" i="21"/>
  <c r="V31" i="21"/>
  <c r="V76" i="21"/>
  <c r="V70" i="21"/>
  <c r="V58" i="21"/>
  <c r="V50" i="21"/>
  <c r="V46" i="21"/>
  <c r="V30" i="21"/>
  <c r="V22" i="21"/>
  <c r="V69" i="21"/>
  <c r="V65" i="21"/>
  <c r="V61" i="21"/>
  <c r="V57" i="21"/>
  <c r="V49" i="21"/>
  <c r="V41" i="21"/>
  <c r="V37" i="21"/>
  <c r="V29" i="21"/>
  <c r="V72" i="21"/>
  <c r="V68" i="21"/>
  <c r="V64" i="21"/>
  <c r="V60" i="21"/>
  <c r="V52" i="21"/>
  <c r="V48" i="21"/>
  <c r="V40" i="21"/>
  <c r="V36" i="21"/>
  <c r="Z12" i="21"/>
  <c r="V23" i="21"/>
  <c r="R216" i="18"/>
  <c r="R213" i="18"/>
  <c r="R209" i="18"/>
  <c r="R206" i="18"/>
  <c r="R197" i="18"/>
  <c r="R189" i="18"/>
  <c r="R185" i="18"/>
  <c r="R181" i="18"/>
  <c r="R174" i="18"/>
  <c r="R169" i="18"/>
  <c r="R145" i="18"/>
  <c r="R141" i="18"/>
  <c r="R133" i="18"/>
  <c r="R125" i="18"/>
  <c r="R117" i="18"/>
  <c r="R109" i="18"/>
  <c r="R101" i="18"/>
  <c r="R93" i="18"/>
  <c r="R219" i="18"/>
  <c r="R193" i="18"/>
  <c r="R180" i="18"/>
  <c r="R177" i="18"/>
  <c r="R168" i="18"/>
  <c r="R165" i="18"/>
  <c r="R156" i="18"/>
  <c r="R153" i="18"/>
  <c r="R144" i="18"/>
  <c r="R140" i="18"/>
  <c r="R124" i="18"/>
  <c r="R116" i="18"/>
  <c r="R108" i="18"/>
  <c r="R100" i="18"/>
  <c r="R92" i="18"/>
  <c r="X12" i="18"/>
  <c r="Z12" i="18" s="1"/>
  <c r="R225" i="18"/>
  <c r="R212" i="18"/>
  <c r="R208" i="18"/>
  <c r="R196" i="18"/>
  <c r="R188" i="18"/>
  <c r="R184" i="18"/>
  <c r="R171" i="18"/>
  <c r="R159" i="18"/>
  <c r="R139" i="18"/>
  <c r="R132" i="18"/>
  <c r="R123" i="18"/>
  <c r="R115" i="18"/>
  <c r="R107" i="18"/>
  <c r="R99" i="18"/>
  <c r="R91" i="18"/>
  <c r="R217" i="18"/>
  <c r="R202" i="18"/>
  <c r="R179" i="18"/>
  <c r="R167" i="18"/>
  <c r="R162" i="18"/>
  <c r="R158" i="18"/>
  <c r="R155" i="18"/>
  <c r="R150" i="18"/>
  <c r="R143" i="18"/>
  <c r="R138" i="18"/>
  <c r="R122" i="18"/>
  <c r="R114" i="18"/>
  <c r="R106" i="18"/>
  <c r="R98" i="18"/>
  <c r="R90" i="18"/>
  <c r="R220" i="18"/>
  <c r="R205" i="18"/>
  <c r="R201" i="18"/>
  <c r="R173" i="18"/>
  <c r="R170" i="18"/>
  <c r="R161" i="18"/>
  <c r="R149" i="18"/>
  <c r="R137" i="18"/>
  <c r="P129" i="18"/>
  <c r="R121" i="18"/>
  <c r="R113" i="18"/>
  <c r="R105" i="18"/>
  <c r="R97" i="18"/>
  <c r="R89" i="18"/>
  <c r="R215" i="18"/>
  <c r="R204" i="18"/>
  <c r="R200" i="18"/>
  <c r="R192" i="18"/>
  <c r="R176" i="18"/>
  <c r="R164" i="18"/>
  <c r="R157" i="18"/>
  <c r="R152" i="18"/>
  <c r="R148" i="18"/>
  <c r="R136" i="18"/>
  <c r="R120" i="18"/>
  <c r="R112" i="18"/>
  <c r="R104" i="18"/>
  <c r="R96" i="18"/>
  <c r="R218" i="18"/>
  <c r="R211" i="18"/>
  <c r="R207" i="18"/>
  <c r="R199" i="18"/>
  <c r="R195" i="18"/>
  <c r="R191" i="18"/>
  <c r="R187" i="18"/>
  <c r="R183" i="18"/>
  <c r="R175" i="18"/>
  <c r="R172" i="18"/>
  <c r="R160" i="18"/>
  <c r="R147" i="18"/>
  <c r="R135" i="18"/>
  <c r="R127" i="18"/>
  <c r="R119" i="18"/>
  <c r="R111" i="18"/>
  <c r="R103" i="18"/>
  <c r="R95" i="18"/>
  <c r="R88" i="18"/>
  <c r="R198" i="18"/>
  <c r="R178" i="18"/>
  <c r="R131" i="18"/>
  <c r="R190" i="18"/>
  <c r="R182" i="18"/>
  <c r="R134" i="18"/>
  <c r="R110" i="18"/>
  <c r="R118" i="18"/>
  <c r="R194" i="18"/>
  <c r="R210" i="18"/>
  <c r="R186" i="18"/>
  <c r="R154" i="18"/>
  <c r="R151" i="18"/>
  <c r="R142" i="18"/>
  <c r="R126" i="18"/>
  <c r="R221" i="18"/>
  <c r="R166" i="18"/>
  <c r="R163" i="18"/>
  <c r="R94" i="18"/>
  <c r="R203" i="18"/>
  <c r="R146" i="18"/>
  <c r="R102" i="18"/>
  <c r="Z27" i="20"/>
  <c r="T31" i="20"/>
  <c r="L18" i="5"/>
  <c r="D27" i="5"/>
  <c r="N200" i="12"/>
  <c r="T27" i="7"/>
  <c r="Z18" i="7"/>
  <c r="P27" i="11"/>
  <c r="X18" i="11"/>
  <c r="D27" i="8"/>
  <c r="L18" i="8"/>
  <c r="H26" i="6"/>
  <c r="N22" i="6"/>
  <c r="P31" i="4"/>
  <c r="D31" i="87"/>
  <c r="L16" i="87"/>
  <c r="L16" i="83"/>
  <c r="D38" i="83"/>
  <c r="P25" i="78"/>
  <c r="X19" i="78"/>
  <c r="Z19" i="78" s="1"/>
  <c r="P53" i="59"/>
  <c r="H42" i="60"/>
  <c r="N16" i="60"/>
  <c r="J70" i="45"/>
  <c r="J66" i="45"/>
  <c r="J62" i="45"/>
  <c r="J58" i="45"/>
  <c r="J50" i="45"/>
  <c r="J85" i="45"/>
  <c r="J79" i="45"/>
  <c r="J57" i="45"/>
  <c r="J49" i="45"/>
  <c r="J41" i="45"/>
  <c r="J76" i="45"/>
  <c r="J54" i="45"/>
  <c r="J46" i="45"/>
  <c r="J81" i="45"/>
  <c r="J77" i="45"/>
  <c r="J75" i="45"/>
  <c r="J73" i="45"/>
  <c r="J52" i="45"/>
  <c r="J51" i="45"/>
  <c r="J44" i="45"/>
  <c r="J38" i="45"/>
  <c r="J37" i="45"/>
  <c r="J33" i="45"/>
  <c r="J25" i="45"/>
  <c r="J23" i="45"/>
  <c r="J48" i="45"/>
  <c r="J43" i="45"/>
  <c r="J36" i="45"/>
  <c r="J32" i="45"/>
  <c r="J68" i="45"/>
  <c r="J67" i="45"/>
  <c r="J64" i="45"/>
  <c r="J63" i="45"/>
  <c r="J35" i="45"/>
  <c r="J31" i="45"/>
  <c r="J17" i="45"/>
  <c r="J69" i="45"/>
  <c r="J65" i="45"/>
  <c r="J61" i="45"/>
  <c r="J47" i="45"/>
  <c r="J30" i="45"/>
  <c r="J24" i="45"/>
  <c r="J60" i="45"/>
  <c r="J59" i="45"/>
  <c r="J42" i="45"/>
  <c r="J29" i="45"/>
  <c r="J21" i="45"/>
  <c r="J71" i="45"/>
  <c r="J56" i="45"/>
  <c r="J34" i="45"/>
  <c r="J28" i="45"/>
  <c r="H21" i="45"/>
  <c r="J72" i="45"/>
  <c r="J55" i="45"/>
  <c r="J45" i="45"/>
  <c r="J27" i="45"/>
  <c r="J19" i="45"/>
  <c r="J78" i="45"/>
  <c r="J74" i="45"/>
  <c r="J53" i="45"/>
  <c r="J40" i="45"/>
  <c r="J39" i="45"/>
  <c r="J26" i="45"/>
  <c r="J18" i="45"/>
  <c r="X18" i="35"/>
  <c r="P27" i="35"/>
  <c r="P31" i="22"/>
  <c r="P103" i="36"/>
  <c r="D27" i="11"/>
  <c r="L18" i="11"/>
  <c r="D27" i="13"/>
  <c r="L18" i="13"/>
  <c r="F197" i="15"/>
  <c r="F180" i="15"/>
  <c r="F171" i="15"/>
  <c r="F155" i="15"/>
  <c r="F143" i="15"/>
  <c r="F140" i="15"/>
  <c r="F136" i="15"/>
  <c r="F131" i="15"/>
  <c r="F128" i="15"/>
  <c r="F116" i="15"/>
  <c r="F100" i="15"/>
  <c r="F92" i="15"/>
  <c r="F84" i="15"/>
  <c r="F76" i="15"/>
  <c r="F201" i="15"/>
  <c r="F190" i="15"/>
  <c r="F186" i="15"/>
  <c r="F183" i="15"/>
  <c r="F179" i="15"/>
  <c r="F174" i="15"/>
  <c r="F166" i="15"/>
  <c r="F162" i="15"/>
  <c r="F151" i="15"/>
  <c r="F139" i="15"/>
  <c r="F127" i="15"/>
  <c r="F115" i="15"/>
  <c r="F110" i="15"/>
  <c r="F99" i="15"/>
  <c r="F91" i="15"/>
  <c r="F83" i="15"/>
  <c r="F75" i="15"/>
  <c r="F195" i="15"/>
  <c r="F182" i="15"/>
  <c r="F178" i="15"/>
  <c r="F170" i="15"/>
  <c r="F157" i="15"/>
  <c r="F154" i="15"/>
  <c r="F145" i="15"/>
  <c r="F142" i="15"/>
  <c r="F133" i="15"/>
  <c r="F130" i="15"/>
  <c r="F126" i="15"/>
  <c r="F121" i="15"/>
  <c r="F114" i="15"/>
  <c r="F98" i="15"/>
  <c r="F90" i="15"/>
  <c r="F82" i="15"/>
  <c r="F74" i="15"/>
  <c r="F189" i="15"/>
  <c r="F185" i="15"/>
  <c r="F177" i="15"/>
  <c r="F173" i="15"/>
  <c r="F169" i="15"/>
  <c r="F165" i="15"/>
  <c r="F161" i="15"/>
  <c r="F153" i="15"/>
  <c r="F148" i="15"/>
  <c r="F125" i="15"/>
  <c r="F113" i="15"/>
  <c r="D107" i="15"/>
  <c r="F105" i="15"/>
  <c r="F97" i="15"/>
  <c r="F89" i="15"/>
  <c r="F81" i="15"/>
  <c r="F193" i="15"/>
  <c r="F188" i="15"/>
  <c r="F176" i="15"/>
  <c r="F172" i="15"/>
  <c r="F168" i="15"/>
  <c r="F164" i="15"/>
  <c r="F160" i="15"/>
  <c r="F156" i="15"/>
  <c r="F144" i="15"/>
  <c r="F135" i="15"/>
  <c r="F132" i="15"/>
  <c r="F124" i="15"/>
  <c r="F120" i="15"/>
  <c r="F112" i="15"/>
  <c r="F104" i="15"/>
  <c r="F96" i="15"/>
  <c r="F88" i="15"/>
  <c r="F80" i="15"/>
  <c r="F196" i="15"/>
  <c r="F191" i="15"/>
  <c r="F187" i="15"/>
  <c r="F175" i="15"/>
  <c r="F167" i="15"/>
  <c r="F163" i="15"/>
  <c r="F159" i="15"/>
  <c r="F150" i="15"/>
  <c r="F147" i="15"/>
  <c r="F138" i="15"/>
  <c r="F123" i="15"/>
  <c r="F119" i="15"/>
  <c r="F111" i="15"/>
  <c r="F103" i="15"/>
  <c r="F95" i="15"/>
  <c r="F87" i="15"/>
  <c r="F152" i="15"/>
  <c r="F149" i="15"/>
  <c r="F146" i="15"/>
  <c r="F141" i="15"/>
  <c r="F137" i="15"/>
  <c r="F117" i="15"/>
  <c r="F181" i="15"/>
  <c r="F158" i="15"/>
  <c r="F101" i="15"/>
  <c r="F86" i="15"/>
  <c r="F73" i="15"/>
  <c r="F118" i="15"/>
  <c r="F109" i="15"/>
  <c r="F93" i="15"/>
  <c r="F78" i="15"/>
  <c r="L12" i="15"/>
  <c r="F194" i="15"/>
  <c r="F122" i="15"/>
  <c r="F102" i="15"/>
  <c r="F79" i="15"/>
  <c r="F94" i="15"/>
  <c r="F85" i="15"/>
  <c r="F129" i="15"/>
  <c r="F77" i="15"/>
  <c r="F184" i="15"/>
  <c r="F134" i="15"/>
  <c r="X18" i="7"/>
  <c r="P27" i="7"/>
  <c r="Z18" i="10"/>
  <c r="T27" i="10"/>
  <c r="X27" i="10" s="1"/>
  <c r="R195" i="12"/>
  <c r="R188" i="12"/>
  <c r="R183" i="12"/>
  <c r="R179" i="12"/>
  <c r="R175" i="12"/>
  <c r="R171" i="12"/>
  <c r="R167" i="12"/>
  <c r="R159" i="12"/>
  <c r="R156" i="12"/>
  <c r="R151" i="12"/>
  <c r="R127" i="12"/>
  <c r="R123" i="12"/>
  <c r="R115" i="12"/>
  <c r="R107" i="12"/>
  <c r="R99" i="12"/>
  <c r="R91" i="12"/>
  <c r="R83" i="12"/>
  <c r="R204" i="12"/>
  <c r="R178" i="12"/>
  <c r="R173" i="12"/>
  <c r="R169" i="12"/>
  <c r="R165" i="12"/>
  <c r="R158" i="12"/>
  <c r="R153" i="12"/>
  <c r="R141" i="12"/>
  <c r="R121" i="12"/>
  <c r="R114" i="12"/>
  <c r="R105" i="12"/>
  <c r="R97" i="12"/>
  <c r="R89" i="12"/>
  <c r="R81" i="12"/>
  <c r="R197" i="12"/>
  <c r="R193" i="12"/>
  <c r="R181" i="12"/>
  <c r="R164" i="12"/>
  <c r="R161" i="12"/>
  <c r="R149" i="12"/>
  <c r="R144" i="12"/>
  <c r="R140" i="12"/>
  <c r="R137" i="12"/>
  <c r="R132" i="12"/>
  <c r="R125" i="12"/>
  <c r="R120" i="12"/>
  <c r="R111" i="12"/>
  <c r="R104" i="12"/>
  <c r="R96" i="12"/>
  <c r="R88" i="12"/>
  <c r="R80" i="12"/>
  <c r="R202" i="12"/>
  <c r="R187" i="12"/>
  <c r="R172" i="12"/>
  <c r="R168" i="12"/>
  <c r="R155" i="12"/>
  <c r="R152" i="12"/>
  <c r="R143" i="12"/>
  <c r="R131" i="12"/>
  <c r="R119" i="12"/>
  <c r="P111" i="12"/>
  <c r="R103" i="12"/>
  <c r="R95" i="12"/>
  <c r="R87" i="12"/>
  <c r="R79" i="12"/>
  <c r="R208" i="12"/>
  <c r="R190" i="12"/>
  <c r="R186" i="12"/>
  <c r="R163" i="12"/>
  <c r="R146" i="12"/>
  <c r="R139" i="12"/>
  <c r="R134" i="12"/>
  <c r="R130" i="12"/>
  <c r="R118" i="12"/>
  <c r="R102" i="12"/>
  <c r="R94" i="12"/>
  <c r="R86" i="12"/>
  <c r="R78" i="12"/>
  <c r="R200" i="12"/>
  <c r="R189" i="12"/>
  <c r="R185" i="12"/>
  <c r="R177" i="12"/>
  <c r="R157" i="12"/>
  <c r="R154" i="12"/>
  <c r="R142" i="12"/>
  <c r="R129" i="12"/>
  <c r="R117" i="12"/>
  <c r="R109" i="12"/>
  <c r="R101" i="12"/>
  <c r="R93" i="12"/>
  <c r="R85" i="12"/>
  <c r="R77" i="12"/>
  <c r="R203" i="12"/>
  <c r="R196" i="12"/>
  <c r="R192" i="12"/>
  <c r="R184" i="12"/>
  <c r="R180" i="12"/>
  <c r="R176" i="12"/>
  <c r="R160" i="12"/>
  <c r="R148" i="12"/>
  <c r="R145" i="12"/>
  <c r="R136" i="12"/>
  <c r="R133" i="12"/>
  <c r="R128" i="12"/>
  <c r="R124" i="12"/>
  <c r="R116" i="12"/>
  <c r="R113" i="12"/>
  <c r="R108" i="12"/>
  <c r="R100" i="12"/>
  <c r="R92" i="12"/>
  <c r="R84" i="12"/>
  <c r="R76" i="12"/>
  <c r="X12" i="12"/>
  <c r="R198" i="12"/>
  <c r="R166" i="12"/>
  <c r="R90" i="12"/>
  <c r="R201" i="12"/>
  <c r="R182" i="12"/>
  <c r="R174" i="12"/>
  <c r="R135" i="12"/>
  <c r="R162" i="12"/>
  <c r="R138" i="12"/>
  <c r="R98" i="12"/>
  <c r="R126" i="12"/>
  <c r="R106" i="12"/>
  <c r="R194" i="12"/>
  <c r="R170" i="12"/>
  <c r="R147" i="12"/>
  <c r="R122" i="12"/>
  <c r="R82" i="12"/>
  <c r="R191" i="12"/>
  <c r="R150" i="12"/>
  <c r="R75" i="12"/>
  <c r="H31" i="13"/>
  <c r="N27" i="13"/>
  <c r="T27" i="5"/>
  <c r="Z18" i="5"/>
  <c r="T27" i="98"/>
  <c r="Z18" i="98"/>
  <c r="P27" i="98"/>
  <c r="X18" i="98"/>
  <c r="X52" i="96"/>
  <c r="Z52" i="96" s="1"/>
  <c r="T55" i="96"/>
  <c r="Z17" i="96"/>
  <c r="H27" i="98"/>
  <c r="N18" i="98"/>
  <c r="T28" i="92"/>
  <c r="L57" i="86"/>
  <c r="N57" i="86" s="1"/>
  <c r="P64" i="86"/>
  <c r="X60" i="86"/>
  <c r="H44" i="89"/>
  <c r="D30" i="88"/>
  <c r="L16" i="88"/>
  <c r="N16" i="82"/>
  <c r="H32" i="82"/>
  <c r="L16" i="82"/>
  <c r="L17" i="86"/>
  <c r="J38" i="84"/>
  <c r="J31" i="84"/>
  <c r="J23" i="84"/>
  <c r="J35" i="84"/>
  <c r="J29" i="84"/>
  <c r="J33" i="84"/>
  <c r="J27" i="84"/>
  <c r="J20" i="84"/>
  <c r="J17" i="84"/>
  <c r="J22" i="84"/>
  <c r="H17" i="84"/>
  <c r="L17" i="84" s="1"/>
  <c r="J26" i="84"/>
  <c r="J25" i="84"/>
  <c r="J21" i="84"/>
  <c r="J19" i="84"/>
  <c r="J15" i="84"/>
  <c r="N12" i="84"/>
  <c r="J24" i="84"/>
  <c r="Z16" i="80"/>
  <c r="T32" i="80"/>
  <c r="R19" i="78"/>
  <c r="X16" i="80"/>
  <c r="H36" i="72"/>
  <c r="N32" i="72"/>
  <c r="T32" i="78"/>
  <c r="L17" i="74"/>
  <c r="N17" i="74" s="1"/>
  <c r="D42" i="74"/>
  <c r="H68" i="76"/>
  <c r="J68" i="70"/>
  <c r="J64" i="70"/>
  <c r="J60" i="70"/>
  <c r="J56" i="70"/>
  <c r="J44" i="70"/>
  <c r="J40" i="70"/>
  <c r="J36" i="70"/>
  <c r="J30" i="70"/>
  <c r="N12" i="70"/>
  <c r="J59" i="70"/>
  <c r="J49" i="70"/>
  <c r="J35" i="70"/>
  <c r="J66" i="70"/>
  <c r="J58" i="70"/>
  <c r="J52" i="70"/>
  <c r="J46" i="70"/>
  <c r="J34" i="70"/>
  <c r="H27" i="70"/>
  <c r="J69" i="70"/>
  <c r="J63" i="70"/>
  <c r="J55" i="70"/>
  <c r="J43" i="70"/>
  <c r="J39" i="70"/>
  <c r="J33" i="70"/>
  <c r="J48" i="70"/>
  <c r="J31" i="70"/>
  <c r="J25" i="70"/>
  <c r="J65" i="70"/>
  <c r="J47" i="70"/>
  <c r="J38" i="70"/>
  <c r="J37" i="70"/>
  <c r="J29" i="70"/>
  <c r="J45" i="70"/>
  <c r="J32" i="70"/>
  <c r="J53" i="70"/>
  <c r="J42" i="70"/>
  <c r="J41" i="70"/>
  <c r="J61" i="70"/>
  <c r="J50" i="70"/>
  <c r="J54" i="70"/>
  <c r="J62" i="70"/>
  <c r="J57" i="70"/>
  <c r="J51" i="70"/>
  <c r="J73" i="70"/>
  <c r="R40" i="67"/>
  <c r="R37" i="67"/>
  <c r="R32" i="67"/>
  <c r="R31" i="67"/>
  <c r="R24" i="67"/>
  <c r="R48" i="67"/>
  <c r="R42" i="67"/>
  <c r="R39" i="67"/>
  <c r="R34" i="67"/>
  <c r="R30" i="67"/>
  <c r="R21" i="67"/>
  <c r="R53" i="67"/>
  <c r="R46" i="67"/>
  <c r="R29" i="67"/>
  <c r="P21" i="67"/>
  <c r="R41" i="67"/>
  <c r="R36" i="67"/>
  <c r="R33" i="67"/>
  <c r="R28" i="67"/>
  <c r="X12" i="67"/>
  <c r="R23" i="67"/>
  <c r="R38" i="67"/>
  <c r="R25" i="67"/>
  <c r="R18" i="67"/>
  <c r="R44" i="67"/>
  <c r="R27" i="67"/>
  <c r="R35" i="67"/>
  <c r="R50" i="67"/>
  <c r="R19" i="67"/>
  <c r="R26" i="67"/>
  <c r="R61" i="64"/>
  <c r="R49" i="64"/>
  <c r="R44" i="64"/>
  <c r="R40" i="64"/>
  <c r="R37" i="64"/>
  <c r="R32" i="64"/>
  <c r="R24" i="64"/>
  <c r="R68" i="64"/>
  <c r="R64" i="64"/>
  <c r="R55" i="64"/>
  <c r="R52" i="64"/>
  <c r="R43" i="64"/>
  <c r="R39" i="64"/>
  <c r="R57" i="64"/>
  <c r="R54" i="64"/>
  <c r="R42" i="64"/>
  <c r="R38" i="64"/>
  <c r="R29" i="64"/>
  <c r="R66" i="64"/>
  <c r="R62" i="64"/>
  <c r="R50" i="64"/>
  <c r="R47" i="64"/>
  <c r="R26" i="64"/>
  <c r="R63" i="64"/>
  <c r="R35" i="64"/>
  <c r="X12" i="64"/>
  <c r="R58" i="64"/>
  <c r="P35" i="64"/>
  <c r="R25" i="64"/>
  <c r="R48" i="64"/>
  <c r="R46" i="64"/>
  <c r="R45" i="64"/>
  <c r="R28" i="64"/>
  <c r="R27" i="64"/>
  <c r="R60" i="64"/>
  <c r="R59" i="64"/>
  <c r="R31" i="64"/>
  <c r="R53" i="64"/>
  <c r="R30" i="64"/>
  <c r="R75" i="64"/>
  <c r="R69" i="64"/>
  <c r="R67" i="64"/>
  <c r="R65" i="64"/>
  <c r="R41" i="64"/>
  <c r="R23" i="64"/>
  <c r="R56" i="64"/>
  <c r="R51" i="64"/>
  <c r="R71" i="64"/>
  <c r="R33" i="64"/>
  <c r="T42" i="60"/>
  <c r="X16" i="60"/>
  <c r="Z16" i="60"/>
  <c r="H64" i="58"/>
  <c r="T49" i="59"/>
  <c r="X49" i="59" s="1"/>
  <c r="Z16" i="59"/>
  <c r="J82" i="51"/>
  <c r="J78" i="51"/>
  <c r="J64" i="51"/>
  <c r="J54" i="51"/>
  <c r="J38" i="51"/>
  <c r="J91" i="51"/>
  <c r="J85" i="51"/>
  <c r="J75" i="51"/>
  <c r="J69" i="51"/>
  <c r="J59" i="51"/>
  <c r="J53" i="51"/>
  <c r="H46" i="51"/>
  <c r="J37" i="51"/>
  <c r="J72" i="51"/>
  <c r="J66" i="51"/>
  <c r="J52" i="51"/>
  <c r="J44" i="51"/>
  <c r="J36" i="51"/>
  <c r="N12" i="51"/>
  <c r="J81" i="51"/>
  <c r="J77" i="51"/>
  <c r="J71" i="51"/>
  <c r="J63" i="51"/>
  <c r="J51" i="51"/>
  <c r="J43" i="51"/>
  <c r="J35" i="51"/>
  <c r="J86" i="51"/>
  <c r="J74" i="51"/>
  <c r="J68" i="51"/>
  <c r="J62" i="51"/>
  <c r="J58" i="51"/>
  <c r="J50" i="51"/>
  <c r="J48" i="51"/>
  <c r="J42" i="51"/>
  <c r="J34" i="51"/>
  <c r="J65" i="51"/>
  <c r="J61" i="51"/>
  <c r="J57" i="51"/>
  <c r="J49" i="51"/>
  <c r="J33" i="51"/>
  <c r="J41" i="51"/>
  <c r="J84" i="51"/>
  <c r="J80" i="51"/>
  <c r="J73" i="51"/>
  <c r="J55" i="51"/>
  <c r="J70" i="51"/>
  <c r="J56" i="51"/>
  <c r="J39" i="51"/>
  <c r="J60" i="51"/>
  <c r="J40" i="51"/>
  <c r="J87" i="51"/>
  <c r="J79" i="51"/>
  <c r="J76" i="51"/>
  <c r="J67" i="51"/>
  <c r="H26" i="54"/>
  <c r="N22" i="54"/>
  <c r="V84" i="51"/>
  <c r="V74" i="51"/>
  <c r="V70" i="51"/>
  <c r="V62" i="51"/>
  <c r="V58" i="51"/>
  <c r="V50" i="51"/>
  <c r="V42" i="51"/>
  <c r="V34" i="51"/>
  <c r="V87" i="51"/>
  <c r="V73" i="51"/>
  <c r="V65" i="51"/>
  <c r="V61" i="51"/>
  <c r="V57" i="51"/>
  <c r="V49" i="51"/>
  <c r="V41" i="51"/>
  <c r="V33" i="51"/>
  <c r="V80" i="51"/>
  <c r="V76" i="51"/>
  <c r="V64" i="51"/>
  <c r="V60" i="51"/>
  <c r="V56" i="51"/>
  <c r="V40" i="51"/>
  <c r="V85" i="51"/>
  <c r="V79" i="51"/>
  <c r="V75" i="51"/>
  <c r="V67" i="51"/>
  <c r="V59" i="51"/>
  <c r="V55" i="51"/>
  <c r="T46" i="51"/>
  <c r="V39" i="51"/>
  <c r="V82" i="51"/>
  <c r="V78" i="51"/>
  <c r="V66" i="51"/>
  <c r="V54" i="51"/>
  <c r="V38" i="51"/>
  <c r="V91" i="51"/>
  <c r="V81" i="51"/>
  <c r="V77" i="51"/>
  <c r="V69" i="51"/>
  <c r="V53" i="51"/>
  <c r="V35" i="51"/>
  <c r="V86" i="51"/>
  <c r="V36" i="51"/>
  <c r="V51" i="51"/>
  <c r="V48" i="51"/>
  <c r="V43" i="51"/>
  <c r="V71" i="51"/>
  <c r="V63" i="51"/>
  <c r="V37" i="51"/>
  <c r="V68" i="51"/>
  <c r="V52" i="51"/>
  <c r="V44" i="51"/>
  <c r="V72" i="51"/>
  <c r="P31" i="53"/>
  <c r="H27" i="53"/>
  <c r="N18" i="53"/>
  <c r="X84" i="51"/>
  <c r="L17" i="48"/>
  <c r="N17" i="48" s="1"/>
  <c r="D55" i="48"/>
  <c r="X18" i="47"/>
  <c r="P27" i="47"/>
  <c r="H55" i="48"/>
  <c r="X27" i="43"/>
  <c r="P31" i="43"/>
  <c r="L18" i="52"/>
  <c r="D27" i="52"/>
  <c r="N52" i="48"/>
  <c r="H27" i="40"/>
  <c r="N18" i="40"/>
  <c r="H36" i="43"/>
  <c r="N36" i="43" s="1"/>
  <c r="N31" i="43"/>
  <c r="L18" i="40"/>
  <c r="D27" i="40"/>
  <c r="N98" i="36"/>
  <c r="T27" i="35"/>
  <c r="Z18" i="35"/>
  <c r="T74" i="33"/>
  <c r="H27" i="25"/>
  <c r="N18" i="25"/>
  <c r="H27" i="22"/>
  <c r="N18" i="22"/>
  <c r="T27" i="26"/>
  <c r="Z18" i="26"/>
  <c r="D74" i="33"/>
  <c r="L29" i="33"/>
  <c r="H27" i="29"/>
  <c r="N18" i="29"/>
  <c r="T27" i="25"/>
  <c r="Z18" i="25"/>
  <c r="H27" i="28"/>
  <c r="N18" i="28"/>
  <c r="L18" i="29"/>
  <c r="D27" i="29"/>
  <c r="V72" i="24"/>
  <c r="V68" i="24"/>
  <c r="V64" i="24"/>
  <c r="V56" i="24"/>
  <c r="V52" i="24"/>
  <c r="T39" i="24"/>
  <c r="V32" i="24"/>
  <c r="V81" i="24"/>
  <c r="V75" i="24"/>
  <c r="V71" i="24"/>
  <c r="V67" i="24"/>
  <c r="V59" i="24"/>
  <c r="V55" i="24"/>
  <c r="V31" i="24"/>
  <c r="V74" i="24"/>
  <c r="V70" i="24"/>
  <c r="V58" i="24"/>
  <c r="V54" i="24"/>
  <c r="V46" i="24"/>
  <c r="V30" i="24"/>
  <c r="V61" i="24"/>
  <c r="V57" i="24"/>
  <c r="V49" i="24"/>
  <c r="V45" i="24"/>
  <c r="V41" i="24"/>
  <c r="V37" i="24"/>
  <c r="V29" i="24"/>
  <c r="V60" i="24"/>
  <c r="V48" i="24"/>
  <c r="V44" i="24"/>
  <c r="V36" i="24"/>
  <c r="V28" i="24"/>
  <c r="Z12" i="24"/>
  <c r="V77" i="24"/>
  <c r="V63" i="24"/>
  <c r="V51" i="24"/>
  <c r="V47" i="24"/>
  <c r="V43" i="24"/>
  <c r="V35" i="24"/>
  <c r="V27" i="24"/>
  <c r="V66" i="24"/>
  <c r="V62" i="24"/>
  <c r="V50" i="24"/>
  <c r="V42" i="24"/>
  <c r="V34" i="24"/>
  <c r="V73" i="24"/>
  <c r="V69" i="24"/>
  <c r="V65" i="24"/>
  <c r="V53" i="24"/>
  <c r="V39" i="24"/>
  <c r="V33" i="24"/>
  <c r="R89" i="27"/>
  <c r="R69" i="27"/>
  <c r="R57" i="27"/>
  <c r="R41" i="27"/>
  <c r="R99" i="27"/>
  <c r="R92" i="27"/>
  <c r="R85" i="27"/>
  <c r="R80" i="27"/>
  <c r="R77" i="27"/>
  <c r="R72" i="27"/>
  <c r="R68" i="27"/>
  <c r="R56" i="27"/>
  <c r="R48" i="27"/>
  <c r="R40" i="27"/>
  <c r="R102" i="27"/>
  <c r="R95" i="27"/>
  <c r="R91" i="27"/>
  <c r="R88" i="27"/>
  <c r="R67" i="27"/>
  <c r="R55" i="27"/>
  <c r="R52" i="27"/>
  <c r="R47" i="27"/>
  <c r="R39" i="27"/>
  <c r="R94" i="27"/>
  <c r="R82" i="27"/>
  <c r="R79" i="27"/>
  <c r="R74" i="27"/>
  <c r="R71" i="27"/>
  <c r="R66" i="27"/>
  <c r="R62" i="27"/>
  <c r="R54" i="27"/>
  <c r="R46" i="27"/>
  <c r="R38" i="27"/>
  <c r="R100" i="27"/>
  <c r="R97" i="27"/>
  <c r="R90" i="27"/>
  <c r="R65" i="27"/>
  <c r="R61" i="27"/>
  <c r="R45" i="27"/>
  <c r="R37" i="27"/>
  <c r="R106" i="27"/>
  <c r="R93" i="27"/>
  <c r="R84" i="27"/>
  <c r="R81" i="27"/>
  <c r="R76" i="27"/>
  <c r="R73" i="27"/>
  <c r="R64" i="27"/>
  <c r="R60" i="27"/>
  <c r="R53" i="27"/>
  <c r="R44" i="27"/>
  <c r="R36" i="27"/>
  <c r="X12" i="27"/>
  <c r="Z12" i="27" s="1"/>
  <c r="R96" i="27"/>
  <c r="R87" i="27"/>
  <c r="R59" i="27"/>
  <c r="R43" i="27"/>
  <c r="R101" i="27"/>
  <c r="R86" i="27"/>
  <c r="R83" i="27"/>
  <c r="R78" i="27"/>
  <c r="R75" i="27"/>
  <c r="R70" i="27"/>
  <c r="R63" i="27"/>
  <c r="R58" i="27"/>
  <c r="P50" i="27"/>
  <c r="R50" i="27" s="1"/>
  <c r="R42" i="27"/>
  <c r="R35" i="27"/>
  <c r="R73" i="24"/>
  <c r="R69" i="24"/>
  <c r="R65" i="24"/>
  <c r="R62" i="24"/>
  <c r="R53" i="24"/>
  <c r="R50" i="24"/>
  <c r="R42" i="24"/>
  <c r="R33" i="24"/>
  <c r="R72" i="24"/>
  <c r="R68" i="24"/>
  <c r="R56" i="24"/>
  <c r="R32" i="24"/>
  <c r="R81" i="24"/>
  <c r="R75" i="24"/>
  <c r="R71" i="24"/>
  <c r="R64" i="24"/>
  <c r="R59" i="24"/>
  <c r="R55" i="24"/>
  <c r="R52" i="24"/>
  <c r="P39" i="24"/>
  <c r="R31" i="24"/>
  <c r="R67" i="24"/>
  <c r="R58" i="24"/>
  <c r="R46" i="24"/>
  <c r="R30" i="24"/>
  <c r="R74" i="24"/>
  <c r="R70" i="24"/>
  <c r="R61" i="24"/>
  <c r="R54" i="24"/>
  <c r="R49" i="24"/>
  <c r="R45" i="24"/>
  <c r="R37" i="24"/>
  <c r="R29" i="24"/>
  <c r="R57" i="24"/>
  <c r="R48" i="24"/>
  <c r="R44" i="24"/>
  <c r="R41" i="24"/>
  <c r="R36" i="24"/>
  <c r="R28" i="24"/>
  <c r="X12" i="24"/>
  <c r="R63" i="24"/>
  <c r="R60" i="24"/>
  <c r="R51" i="24"/>
  <c r="R43" i="24"/>
  <c r="R35" i="24"/>
  <c r="R77" i="24"/>
  <c r="R66" i="24"/>
  <c r="R47" i="24"/>
  <c r="R34" i="24"/>
  <c r="R27" i="24"/>
  <c r="J50" i="27"/>
  <c r="L18" i="20"/>
  <c r="D27" i="20"/>
  <c r="J73" i="21"/>
  <c r="J53" i="21"/>
  <c r="J47" i="21"/>
  <c r="J31" i="21"/>
  <c r="J23" i="21"/>
  <c r="J70" i="21"/>
  <c r="J58" i="21"/>
  <c r="J50" i="21"/>
  <c r="J44" i="21"/>
  <c r="J30" i="21"/>
  <c r="J28" i="21"/>
  <c r="J69" i="21"/>
  <c r="J65" i="21"/>
  <c r="J61" i="21"/>
  <c r="J55" i="21"/>
  <c r="J49" i="21"/>
  <c r="J41" i="21"/>
  <c r="J37" i="21"/>
  <c r="J76" i="21"/>
  <c r="J72" i="21"/>
  <c r="J68" i="21"/>
  <c r="J64" i="21"/>
  <c r="J60" i="21"/>
  <c r="J52" i="21"/>
  <c r="J46" i="21"/>
  <c r="J40" i="21"/>
  <c r="J36" i="21"/>
  <c r="J22" i="21"/>
  <c r="J67" i="21"/>
  <c r="J63" i="21"/>
  <c r="J57" i="21"/>
  <c r="J43" i="21"/>
  <c r="J39" i="21"/>
  <c r="J35" i="21"/>
  <c r="J29" i="21"/>
  <c r="J80" i="21"/>
  <c r="J74" i="21"/>
  <c r="J54" i="21"/>
  <c r="J48" i="21"/>
  <c r="J34" i="21"/>
  <c r="J26" i="21"/>
  <c r="J71" i="21"/>
  <c r="J59" i="21"/>
  <c r="J51" i="21"/>
  <c r="J45" i="21"/>
  <c r="J33" i="21"/>
  <c r="H26" i="21"/>
  <c r="J66" i="21"/>
  <c r="J62" i="21"/>
  <c r="J56" i="21"/>
  <c r="J42" i="21"/>
  <c r="J38" i="21"/>
  <c r="J32" i="21"/>
  <c r="J24" i="21"/>
  <c r="P31" i="17"/>
  <c r="J201" i="15"/>
  <c r="J195" i="15"/>
  <c r="J183" i="15"/>
  <c r="J179" i="15"/>
  <c r="J157" i="15"/>
  <c r="J151" i="15"/>
  <c r="J145" i="15"/>
  <c r="J139" i="15"/>
  <c r="J133" i="15"/>
  <c r="J127" i="15"/>
  <c r="J121" i="15"/>
  <c r="J115" i="15"/>
  <c r="J99" i="15"/>
  <c r="J91" i="15"/>
  <c r="J83" i="15"/>
  <c r="J75" i="15"/>
  <c r="J182" i="15"/>
  <c r="J178" i="15"/>
  <c r="J170" i="15"/>
  <c r="J154" i="15"/>
  <c r="J148" i="15"/>
  <c r="J142" i="15"/>
  <c r="J130" i="15"/>
  <c r="J126" i="15"/>
  <c r="J114" i="15"/>
  <c r="H107" i="15"/>
  <c r="J107" i="15" s="1"/>
  <c r="J98" i="15"/>
  <c r="J90" i="15"/>
  <c r="J82" i="15"/>
  <c r="J74" i="15"/>
  <c r="J193" i="15"/>
  <c r="J189" i="15"/>
  <c r="J185" i="15"/>
  <c r="J177" i="15"/>
  <c r="J173" i="15"/>
  <c r="J169" i="15"/>
  <c r="J165" i="15"/>
  <c r="J161" i="15"/>
  <c r="J153" i="15"/>
  <c r="J135" i="15"/>
  <c r="J125" i="15"/>
  <c r="J113" i="15"/>
  <c r="J105" i="15"/>
  <c r="J97" i="15"/>
  <c r="J89" i="15"/>
  <c r="J81" i="15"/>
  <c r="J196" i="15"/>
  <c r="J188" i="15"/>
  <c r="J176" i="15"/>
  <c r="J172" i="15"/>
  <c r="J168" i="15"/>
  <c r="J164" i="15"/>
  <c r="J160" i="15"/>
  <c r="J156" i="15"/>
  <c r="J150" i="15"/>
  <c r="J144" i="15"/>
  <c r="J138" i="15"/>
  <c r="J132" i="15"/>
  <c r="J124" i="15"/>
  <c r="J120" i="15"/>
  <c r="J112" i="15"/>
  <c r="J104" i="15"/>
  <c r="J96" i="15"/>
  <c r="J88" i="15"/>
  <c r="J80" i="15"/>
  <c r="J191" i="15"/>
  <c r="J187" i="15"/>
  <c r="J181" i="15"/>
  <c r="J175" i="15"/>
  <c r="J167" i="15"/>
  <c r="J163" i="15"/>
  <c r="J159" i="15"/>
  <c r="J147" i="15"/>
  <c r="J141" i="15"/>
  <c r="J129" i="15"/>
  <c r="J123" i="15"/>
  <c r="J119" i="15"/>
  <c r="J111" i="15"/>
  <c r="J109" i="15"/>
  <c r="J103" i="15"/>
  <c r="J95" i="15"/>
  <c r="J87" i="15"/>
  <c r="J79" i="15"/>
  <c r="J73" i="15"/>
  <c r="J194" i="15"/>
  <c r="J184" i="15"/>
  <c r="J158" i="15"/>
  <c r="J152" i="15"/>
  <c r="J146" i="15"/>
  <c r="J134" i="15"/>
  <c r="J122" i="15"/>
  <c r="J118" i="15"/>
  <c r="J102" i="15"/>
  <c r="J94" i="15"/>
  <c r="J86" i="15"/>
  <c r="J180" i="15"/>
  <c r="J77" i="15"/>
  <c r="J190" i="15"/>
  <c r="J186" i="15"/>
  <c r="J143" i="15"/>
  <c r="J131" i="15"/>
  <c r="J93" i="15"/>
  <c r="J78" i="15"/>
  <c r="N12" i="15"/>
  <c r="J162" i="15"/>
  <c r="J155" i="15"/>
  <c r="J110" i="15"/>
  <c r="J166" i="15"/>
  <c r="J136" i="15"/>
  <c r="J84" i="15"/>
  <c r="J174" i="15"/>
  <c r="J116" i="15"/>
  <c r="J85" i="15"/>
  <c r="J197" i="15"/>
  <c r="J149" i="15"/>
  <c r="J140" i="15"/>
  <c r="J137" i="15"/>
  <c r="J128" i="15"/>
  <c r="J117" i="15"/>
  <c r="J100" i="15"/>
  <c r="J76" i="15"/>
  <c r="J171" i="15"/>
  <c r="J92" i="15"/>
  <c r="J101" i="15"/>
  <c r="Z215" i="18"/>
  <c r="T27" i="19"/>
  <c r="Z18" i="19"/>
  <c r="R188" i="15"/>
  <c r="R181" i="15"/>
  <c r="R176" i="15"/>
  <c r="R172" i="15"/>
  <c r="R168" i="15"/>
  <c r="R164" i="15"/>
  <c r="R160" i="15"/>
  <c r="R156" i="15"/>
  <c r="R144" i="15"/>
  <c r="R141" i="15"/>
  <c r="R132" i="15"/>
  <c r="R129" i="15"/>
  <c r="R124" i="15"/>
  <c r="R120" i="15"/>
  <c r="R112" i="15"/>
  <c r="R109" i="15"/>
  <c r="R104" i="15"/>
  <c r="R96" i="15"/>
  <c r="R88" i="15"/>
  <c r="R80" i="15"/>
  <c r="R73" i="15"/>
  <c r="R194" i="15"/>
  <c r="R191" i="15"/>
  <c r="R187" i="15"/>
  <c r="R184" i="15"/>
  <c r="R175" i="15"/>
  <c r="R167" i="15"/>
  <c r="R163" i="15"/>
  <c r="R159" i="15"/>
  <c r="R152" i="15"/>
  <c r="R147" i="15"/>
  <c r="R123" i="15"/>
  <c r="R119" i="15"/>
  <c r="R111" i="15"/>
  <c r="R103" i="15"/>
  <c r="R95" i="15"/>
  <c r="R87" i="15"/>
  <c r="R79" i="15"/>
  <c r="R197" i="15"/>
  <c r="R171" i="15"/>
  <c r="R158" i="15"/>
  <c r="R155" i="15"/>
  <c r="R146" i="15"/>
  <c r="R143" i="15"/>
  <c r="R134" i="15"/>
  <c r="R131" i="15"/>
  <c r="R122" i="15"/>
  <c r="R118" i="15"/>
  <c r="R102" i="15"/>
  <c r="R94" i="15"/>
  <c r="R86" i="15"/>
  <c r="R78" i="15"/>
  <c r="R190" i="15"/>
  <c r="R186" i="15"/>
  <c r="R174" i="15"/>
  <c r="R166" i="15"/>
  <c r="R162" i="15"/>
  <c r="R149" i="15"/>
  <c r="R137" i="15"/>
  <c r="R117" i="15"/>
  <c r="R110" i="15"/>
  <c r="R101" i="15"/>
  <c r="R93" i="15"/>
  <c r="R85" i="15"/>
  <c r="R77" i="15"/>
  <c r="R195" i="15"/>
  <c r="R180" i="15"/>
  <c r="R157" i="15"/>
  <c r="R145" i="15"/>
  <c r="R140" i="15"/>
  <c r="R136" i="15"/>
  <c r="R133" i="15"/>
  <c r="R128" i="15"/>
  <c r="R121" i="15"/>
  <c r="R116" i="15"/>
  <c r="R107" i="15"/>
  <c r="R100" i="15"/>
  <c r="R92" i="15"/>
  <c r="R84" i="15"/>
  <c r="R76" i="15"/>
  <c r="R201" i="15"/>
  <c r="R183" i="15"/>
  <c r="R179" i="15"/>
  <c r="R151" i="15"/>
  <c r="R148" i="15"/>
  <c r="R139" i="15"/>
  <c r="R127" i="15"/>
  <c r="R115" i="15"/>
  <c r="P107" i="15"/>
  <c r="R99" i="15"/>
  <c r="R91" i="15"/>
  <c r="R193" i="15"/>
  <c r="R189" i="15"/>
  <c r="R185" i="15"/>
  <c r="R178" i="15"/>
  <c r="R153" i="15"/>
  <c r="R150" i="15"/>
  <c r="R142" i="15"/>
  <c r="R135" i="15"/>
  <c r="R82" i="15"/>
  <c r="X12" i="15"/>
  <c r="R182" i="15"/>
  <c r="R161" i="15"/>
  <c r="R154" i="15"/>
  <c r="R90" i="15"/>
  <c r="R75" i="15"/>
  <c r="R165" i="15"/>
  <c r="R105" i="15"/>
  <c r="R196" i="15"/>
  <c r="R173" i="15"/>
  <c r="R113" i="15"/>
  <c r="R169" i="15"/>
  <c r="R125" i="15"/>
  <c r="R177" i="15"/>
  <c r="R114" i="15"/>
  <c r="R97" i="15"/>
  <c r="R170" i="15"/>
  <c r="R138" i="15"/>
  <c r="R126" i="15"/>
  <c r="R98" i="15"/>
  <c r="R81" i="15"/>
  <c r="R130" i="15"/>
  <c r="R89" i="15"/>
  <c r="R83" i="15"/>
  <c r="R74" i="15"/>
  <c r="X18" i="8"/>
  <c r="P27" i="8"/>
  <c r="N27" i="11"/>
  <c r="H31" i="11"/>
  <c r="T27" i="4"/>
  <c r="Z18" i="4"/>
  <c r="H27" i="7"/>
  <c r="N18" i="7"/>
  <c r="X18" i="4"/>
  <c r="H27" i="99"/>
  <c r="N18" i="99"/>
  <c r="L28" i="92"/>
  <c r="D31" i="92"/>
  <c r="D32" i="72"/>
  <c r="L18" i="72"/>
  <c r="J99" i="66"/>
  <c r="J95" i="66"/>
  <c r="J91" i="66"/>
  <c r="J85" i="66"/>
  <c r="J77" i="66"/>
  <c r="J67" i="66"/>
  <c r="J97" i="66"/>
  <c r="J79" i="66"/>
  <c r="J71" i="66"/>
  <c r="J65" i="66"/>
  <c r="J106" i="66"/>
  <c r="J100" i="66"/>
  <c r="J90" i="66"/>
  <c r="J84" i="66"/>
  <c r="J76" i="66"/>
  <c r="J64" i="66"/>
  <c r="J93" i="66"/>
  <c r="J87" i="66"/>
  <c r="J81" i="66"/>
  <c r="J73" i="66"/>
  <c r="J59" i="66"/>
  <c r="J75" i="66"/>
  <c r="J72" i="66"/>
  <c r="J66" i="66"/>
  <c r="J50" i="66"/>
  <c r="J42" i="66"/>
  <c r="J58" i="66"/>
  <c r="J57" i="66"/>
  <c r="H50" i="66"/>
  <c r="J41" i="66"/>
  <c r="J35" i="66"/>
  <c r="J92" i="66"/>
  <c r="J78" i="66"/>
  <c r="J74" i="66"/>
  <c r="J68" i="66"/>
  <c r="J63" i="66"/>
  <c r="J61" i="66"/>
  <c r="J60" i="66"/>
  <c r="J56" i="66"/>
  <c r="J48" i="66"/>
  <c r="J40" i="66"/>
  <c r="J96" i="66"/>
  <c r="J69" i="66"/>
  <c r="J55" i="66"/>
  <c r="J47" i="66"/>
  <c r="J39" i="66"/>
  <c r="J89" i="66"/>
  <c r="J82" i="66"/>
  <c r="J70" i="66"/>
  <c r="J44" i="66"/>
  <c r="J36" i="66"/>
  <c r="J102" i="66"/>
  <c r="J86" i="66"/>
  <c r="J53" i="66"/>
  <c r="J52" i="66"/>
  <c r="J94" i="66"/>
  <c r="J83" i="66"/>
  <c r="J62" i="66"/>
  <c r="J54" i="66"/>
  <c r="J43" i="66"/>
  <c r="J88" i="66"/>
  <c r="J80" i="66"/>
  <c r="J37" i="66"/>
  <c r="J101" i="66"/>
  <c r="J46" i="66"/>
  <c r="J38" i="66"/>
  <c r="J45" i="66"/>
  <c r="P64" i="58"/>
  <c r="T27" i="46"/>
  <c r="Z18" i="46"/>
  <c r="D83" i="45"/>
  <c r="L21" i="45"/>
  <c r="T27" i="31"/>
  <c r="Z18" i="31"/>
  <c r="X16" i="92"/>
  <c r="P24" i="92"/>
  <c r="N21" i="91"/>
  <c r="H72" i="91"/>
  <c r="Z16" i="83"/>
  <c r="T38" i="83"/>
  <c r="D60" i="86"/>
  <c r="P66" i="81"/>
  <c r="V59" i="79"/>
  <c r="V47" i="79"/>
  <c r="V43" i="79"/>
  <c r="V35" i="79"/>
  <c r="V31" i="79"/>
  <c r="V23" i="79"/>
  <c r="V46" i="79"/>
  <c r="V38" i="79"/>
  <c r="V34" i="79"/>
  <c r="V30" i="79"/>
  <c r="V20" i="79"/>
  <c r="V49" i="79"/>
  <c r="V37" i="79"/>
  <c r="V33" i="79"/>
  <c r="V29" i="79"/>
  <c r="T20" i="79"/>
  <c r="V68" i="79"/>
  <c r="V62" i="79"/>
  <c r="V56" i="79"/>
  <c r="V52" i="79"/>
  <c r="V48" i="79"/>
  <c r="V40" i="79"/>
  <c r="V32" i="79"/>
  <c r="V28" i="79"/>
  <c r="Z12" i="79"/>
  <c r="V55" i="79"/>
  <c r="V51" i="79"/>
  <c r="V39" i="79"/>
  <c r="V27" i="79"/>
  <c r="V58" i="79"/>
  <c r="V54" i="79"/>
  <c r="V50" i="79"/>
  <c r="V42" i="79"/>
  <c r="V26" i="79"/>
  <c r="V22" i="79"/>
  <c r="V18" i="79"/>
  <c r="V57" i="79"/>
  <c r="V53" i="79"/>
  <c r="V45" i="79"/>
  <c r="V41" i="79"/>
  <c r="V25" i="79"/>
  <c r="V17" i="79"/>
  <c r="V66" i="79"/>
  <c r="V71" i="79"/>
  <c r="V64" i="79"/>
  <c r="V16" i="79"/>
  <c r="V60" i="79"/>
  <c r="V44" i="79"/>
  <c r="V36" i="79"/>
  <c r="V24" i="79"/>
  <c r="D79" i="85"/>
  <c r="L20" i="85"/>
  <c r="N20" i="85" s="1"/>
  <c r="T32" i="72"/>
  <c r="Z18" i="72"/>
  <c r="P32" i="72"/>
  <c r="X18" i="72"/>
  <c r="N20" i="79"/>
  <c r="H64" i="79"/>
  <c r="P42" i="74"/>
  <c r="X17" i="74"/>
  <c r="Z17" i="74" s="1"/>
  <c r="T68" i="76"/>
  <c r="D64" i="79"/>
  <c r="L20" i="79"/>
  <c r="P29" i="75"/>
  <c r="V80" i="71"/>
  <c r="V76" i="71"/>
  <c r="V85" i="71"/>
  <c r="V82" i="71"/>
  <c r="V78" i="71"/>
  <c r="V91" i="71"/>
  <c r="V81" i="71"/>
  <c r="V77" i="71"/>
  <c r="V69" i="71"/>
  <c r="V86" i="71"/>
  <c r="V71" i="71"/>
  <c r="V79" i="71"/>
  <c r="V62" i="71"/>
  <c r="V58" i="71"/>
  <c r="V75" i="71"/>
  <c r="V65" i="71"/>
  <c r="V61" i="71"/>
  <c r="V57" i="71"/>
  <c r="V49" i="71"/>
  <c r="V41" i="71"/>
  <c r="V33" i="71"/>
  <c r="V73" i="71"/>
  <c r="V64" i="71"/>
  <c r="V60" i="71"/>
  <c r="V56" i="71"/>
  <c r="V40" i="71"/>
  <c r="V70" i="71"/>
  <c r="V67" i="71"/>
  <c r="V59" i="71"/>
  <c r="V55" i="71"/>
  <c r="T46" i="71"/>
  <c r="V46" i="71" s="1"/>
  <c r="V39" i="71"/>
  <c r="V74" i="71"/>
  <c r="V66" i="71"/>
  <c r="V54" i="71"/>
  <c r="V38" i="71"/>
  <c r="V72" i="71"/>
  <c r="V53" i="71"/>
  <c r="V37" i="71"/>
  <c r="V84" i="71"/>
  <c r="V68" i="71"/>
  <c r="V44" i="71"/>
  <c r="V51" i="71"/>
  <c r="V87" i="71"/>
  <c r="V52" i="71"/>
  <c r="V34" i="71"/>
  <c r="V48" i="71"/>
  <c r="V35" i="71"/>
  <c r="V63" i="71"/>
  <c r="V50" i="71"/>
  <c r="V36" i="71"/>
  <c r="V42" i="71"/>
  <c r="V43" i="71"/>
  <c r="P48" i="61"/>
  <c r="P96" i="62"/>
  <c r="V55" i="64"/>
  <c r="V43" i="64"/>
  <c r="V39" i="64"/>
  <c r="V31" i="64"/>
  <c r="V23" i="64"/>
  <c r="V54" i="64"/>
  <c r="V46" i="64"/>
  <c r="V42" i="64"/>
  <c r="V38" i="64"/>
  <c r="V71" i="64"/>
  <c r="V57" i="64"/>
  <c r="V60" i="64"/>
  <c r="V56" i="64"/>
  <c r="V48" i="64"/>
  <c r="T35" i="64"/>
  <c r="V28" i="64"/>
  <c r="Z12" i="64"/>
  <c r="V75" i="64"/>
  <c r="V69" i="64"/>
  <c r="V65" i="64"/>
  <c r="V61" i="64"/>
  <c r="V53" i="64"/>
  <c r="V49" i="64"/>
  <c r="V41" i="64"/>
  <c r="V37" i="64"/>
  <c r="V33" i="64"/>
  <c r="V25" i="64"/>
  <c r="V47" i="64"/>
  <c r="V45" i="64"/>
  <c r="V24" i="64"/>
  <c r="V68" i="64"/>
  <c r="V66" i="64"/>
  <c r="V52" i="64"/>
  <c r="V27" i="64"/>
  <c r="V26" i="64"/>
  <c r="V59" i="64"/>
  <c r="V44" i="64"/>
  <c r="V30" i="64"/>
  <c r="V29" i="64"/>
  <c r="V67" i="64"/>
  <c r="V64" i="64"/>
  <c r="V50" i="64"/>
  <c r="V62" i="64"/>
  <c r="V51" i="64"/>
  <c r="V40" i="64"/>
  <c r="V32" i="64"/>
  <c r="V63" i="64"/>
  <c r="V58" i="64"/>
  <c r="V35" i="64"/>
  <c r="L16" i="55"/>
  <c r="T55" i="48"/>
  <c r="D22" i="54"/>
  <c r="L16" i="54"/>
  <c r="X17" i="48"/>
  <c r="Z17" i="48" s="1"/>
  <c r="P55" i="48"/>
  <c r="P34" i="55"/>
  <c r="X30" i="55"/>
  <c r="Z30" i="55" s="1"/>
  <c r="D27" i="50"/>
  <c r="L18" i="50"/>
  <c r="L86" i="42"/>
  <c r="N86" i="42" s="1"/>
  <c r="H27" i="38"/>
  <c r="N18" i="38"/>
  <c r="T83" i="45"/>
  <c r="Z21" i="45"/>
  <c r="T27" i="38"/>
  <c r="Z18" i="38"/>
  <c r="V94" i="36"/>
  <c r="V90" i="36"/>
  <c r="V82" i="36"/>
  <c r="V78" i="36"/>
  <c r="V74" i="36"/>
  <c r="V70" i="36"/>
  <c r="V66" i="36"/>
  <c r="V58" i="36"/>
  <c r="V50" i="36"/>
  <c r="V42" i="36"/>
  <c r="V30" i="36"/>
  <c r="V99" i="36"/>
  <c r="V93" i="36"/>
  <c r="V81" i="36"/>
  <c r="V77" i="36"/>
  <c r="V73" i="36"/>
  <c r="V69" i="36"/>
  <c r="V61" i="36"/>
  <c r="V53" i="36"/>
  <c r="V49" i="36"/>
  <c r="V41" i="36"/>
  <c r="V29" i="36"/>
  <c r="V25" i="36"/>
  <c r="V21" i="36"/>
  <c r="V96" i="36"/>
  <c r="V92" i="36"/>
  <c r="V80" i="36"/>
  <c r="V72" i="36"/>
  <c r="V68" i="36"/>
  <c r="V60" i="36"/>
  <c r="V52" i="36"/>
  <c r="V44" i="36"/>
  <c r="V40" i="36"/>
  <c r="V28" i="36"/>
  <c r="V20" i="36"/>
  <c r="Z12" i="36"/>
  <c r="V105" i="36"/>
  <c r="V95" i="36"/>
  <c r="V87" i="36"/>
  <c r="V79" i="36"/>
  <c r="V63" i="36"/>
  <c r="V55" i="36"/>
  <c r="V43" i="36"/>
  <c r="V39" i="36"/>
  <c r="V35" i="36"/>
  <c r="V27" i="36"/>
  <c r="V19" i="36"/>
  <c r="V100" i="36"/>
  <c r="V86" i="36"/>
  <c r="V62" i="36"/>
  <c r="V54" i="36"/>
  <c r="V46" i="36"/>
  <c r="V38" i="36"/>
  <c r="V34" i="36"/>
  <c r="V26" i="36"/>
  <c r="V89" i="36"/>
  <c r="V85" i="36"/>
  <c r="V65" i="36"/>
  <c r="V57" i="36"/>
  <c r="V45" i="36"/>
  <c r="V37" i="36"/>
  <c r="V33" i="36"/>
  <c r="V98" i="36"/>
  <c r="V88" i="36"/>
  <c r="V84" i="36"/>
  <c r="V76" i="36"/>
  <c r="V64" i="36"/>
  <c r="V56" i="36"/>
  <c r="V48" i="36"/>
  <c r="V36" i="36"/>
  <c r="V32" i="36"/>
  <c r="T23" i="36"/>
  <c r="V101" i="36"/>
  <c r="V91" i="36"/>
  <c r="V83" i="36"/>
  <c r="V75" i="36"/>
  <c r="V71" i="36"/>
  <c r="V67" i="36"/>
  <c r="V59" i="36"/>
  <c r="V51" i="36"/>
  <c r="V47" i="36"/>
  <c r="V31" i="36"/>
  <c r="H27" i="32"/>
  <c r="N18" i="32"/>
  <c r="X70" i="33"/>
  <c r="Z70" i="33" s="1"/>
  <c r="L18" i="35"/>
  <c r="D27" i="35"/>
  <c r="L18" i="26"/>
  <c r="D27" i="26"/>
  <c r="T27" i="23"/>
  <c r="Z18" i="23"/>
  <c r="H103" i="36"/>
  <c r="L18" i="25"/>
  <c r="D27" i="25"/>
  <c r="P27" i="26"/>
  <c r="X18" i="26"/>
  <c r="X18" i="25"/>
  <c r="P27" i="25"/>
  <c r="N29" i="33"/>
  <c r="H74" i="33"/>
  <c r="J29" i="33"/>
  <c r="T140" i="30"/>
  <c r="L18" i="17"/>
  <c r="D27" i="17"/>
  <c r="H27" i="10"/>
  <c r="N18" i="10"/>
  <c r="Z193" i="15"/>
  <c r="L18" i="16"/>
  <c r="D27" i="16"/>
  <c r="T27" i="16"/>
  <c r="X27" i="16" s="1"/>
  <c r="Z18" i="16"/>
  <c r="L18" i="10"/>
  <c r="T27" i="8"/>
  <c r="Z18" i="8"/>
  <c r="H31" i="4"/>
  <c r="N27" i="4"/>
  <c r="L18" i="4"/>
  <c r="D27" i="4"/>
  <c r="J245" i="3"/>
  <c r="J239" i="3"/>
  <c r="J231" i="3"/>
  <c r="J227" i="3"/>
  <c r="J221" i="3"/>
  <c r="J215" i="3"/>
  <c r="J207" i="3"/>
  <c r="J193" i="3"/>
  <c r="J187" i="3"/>
  <c r="J179" i="3"/>
  <c r="J173" i="3"/>
  <c r="J167" i="3"/>
  <c r="J161" i="3"/>
  <c r="J147" i="3"/>
  <c r="J131" i="3"/>
  <c r="J123" i="3"/>
  <c r="J115" i="3"/>
  <c r="J107" i="3"/>
  <c r="J99" i="3"/>
  <c r="J234" i="3"/>
  <c r="J224" i="3"/>
  <c r="J214" i="3"/>
  <c r="J210" i="3"/>
  <c r="J206" i="3"/>
  <c r="J190" i="3"/>
  <c r="J184" i="3"/>
  <c r="J178" i="3"/>
  <c r="J170" i="3"/>
  <c r="J166" i="3"/>
  <c r="J158" i="3"/>
  <c r="J146" i="3"/>
  <c r="J140" i="3"/>
  <c r="J130" i="3"/>
  <c r="J122" i="3"/>
  <c r="J114" i="3"/>
  <c r="J106" i="3"/>
  <c r="J98" i="3"/>
  <c r="J249" i="3"/>
  <c r="J237" i="3"/>
  <c r="J213" i="3"/>
  <c r="J209" i="3"/>
  <c r="J205" i="3"/>
  <c r="J201" i="3"/>
  <c r="J197" i="3"/>
  <c r="J181" i="3"/>
  <c r="J175" i="3"/>
  <c r="J169" i="3"/>
  <c r="J163" i="3"/>
  <c r="J157" i="3"/>
  <c r="J151" i="3"/>
  <c r="J145" i="3"/>
  <c r="J137" i="3"/>
  <c r="J129" i="3"/>
  <c r="J121" i="3"/>
  <c r="J113" i="3"/>
  <c r="J105" i="3"/>
  <c r="J97" i="3"/>
  <c r="J240" i="3"/>
  <c r="J230" i="3"/>
  <c r="J226" i="3"/>
  <c r="J220" i="3"/>
  <c r="J212" i="3"/>
  <c r="J204" i="3"/>
  <c r="J200" i="3"/>
  <c r="J196" i="3"/>
  <c r="J192" i="3"/>
  <c r="J186" i="3"/>
  <c r="J172" i="3"/>
  <c r="J160" i="3"/>
  <c r="J156" i="3"/>
  <c r="J144" i="3"/>
  <c r="H137" i="3"/>
  <c r="J128" i="3"/>
  <c r="J120" i="3"/>
  <c r="J112" i="3"/>
  <c r="J104" i="3"/>
  <c r="J96" i="3"/>
  <c r="J235" i="3"/>
  <c r="J223" i="3"/>
  <c r="J219" i="3"/>
  <c r="J203" i="3"/>
  <c r="J199" i="3"/>
  <c r="J195" i="3"/>
  <c r="J189" i="3"/>
  <c r="J183" i="3"/>
  <c r="J177" i="3"/>
  <c r="J165" i="3"/>
  <c r="J155" i="3"/>
  <c r="J143" i="3"/>
  <c r="J135" i="3"/>
  <c r="J127" i="3"/>
  <c r="J119" i="3"/>
  <c r="J111" i="3"/>
  <c r="J103" i="3"/>
  <c r="J95" i="3"/>
  <c r="J238" i="3"/>
  <c r="J222" i="3"/>
  <c r="J218" i="3"/>
  <c r="J208" i="3"/>
  <c r="J194" i="3"/>
  <c r="J180" i="3"/>
  <c r="J174" i="3"/>
  <c r="J168" i="3"/>
  <c r="J162" i="3"/>
  <c r="J154" i="3"/>
  <c r="J150" i="3"/>
  <c r="J142" i="3"/>
  <c r="J134" i="3"/>
  <c r="J126" i="3"/>
  <c r="J118" i="3"/>
  <c r="J110" i="3"/>
  <c r="J102" i="3"/>
  <c r="J250" i="3"/>
  <c r="J241" i="3"/>
  <c r="J233" i="3"/>
  <c r="J229" i="3"/>
  <c r="J225" i="3"/>
  <c r="J217" i="3"/>
  <c r="J211" i="3"/>
  <c r="J191" i="3"/>
  <c r="J185" i="3"/>
  <c r="J171" i="3"/>
  <c r="J159" i="3"/>
  <c r="J153" i="3"/>
  <c r="J149" i="3"/>
  <c r="J141" i="3"/>
  <c r="J139" i="3"/>
  <c r="J133" i="3"/>
  <c r="J125" i="3"/>
  <c r="J117" i="3"/>
  <c r="J109" i="3"/>
  <c r="J101" i="3"/>
  <c r="J182" i="3"/>
  <c r="J148" i="3"/>
  <c r="J108" i="3"/>
  <c r="J100" i="3"/>
  <c r="J124" i="3"/>
  <c r="J198" i="3"/>
  <c r="J236" i="3"/>
  <c r="J152" i="3"/>
  <c r="J94" i="3"/>
  <c r="J164" i="3"/>
  <c r="J228" i="3"/>
  <c r="J116" i="3"/>
  <c r="J132" i="3"/>
  <c r="J216" i="3"/>
  <c r="J202" i="3"/>
  <c r="J188" i="3"/>
  <c r="J176" i="3"/>
  <c r="X18" i="5"/>
  <c r="P27" i="5"/>
  <c r="R233" i="3"/>
  <c r="P31" i="99"/>
  <c r="Z16" i="90"/>
  <c r="T44" i="90"/>
  <c r="V31" i="75"/>
  <c r="V25" i="75"/>
  <c r="V21" i="75"/>
  <c r="V20" i="75"/>
  <c r="V19" i="75"/>
  <c r="V18" i="75"/>
  <c r="V27" i="75"/>
  <c r="T23" i="75"/>
  <c r="R106" i="66"/>
  <c r="R93" i="66"/>
  <c r="R84" i="66"/>
  <c r="R81" i="66"/>
  <c r="R76" i="66"/>
  <c r="R73" i="66"/>
  <c r="R64" i="66"/>
  <c r="R60" i="66"/>
  <c r="R101" i="66"/>
  <c r="R86" i="66"/>
  <c r="R83" i="66"/>
  <c r="R78" i="66"/>
  <c r="R75" i="66"/>
  <c r="R70" i="66"/>
  <c r="R63" i="66"/>
  <c r="R89" i="66"/>
  <c r="R69" i="66"/>
  <c r="R99" i="66"/>
  <c r="R92" i="66"/>
  <c r="R85" i="66"/>
  <c r="R80" i="66"/>
  <c r="R77" i="66"/>
  <c r="R72" i="66"/>
  <c r="R68" i="66"/>
  <c r="R102" i="66"/>
  <c r="R61" i="66"/>
  <c r="R55" i="66"/>
  <c r="R52" i="66"/>
  <c r="R47" i="66"/>
  <c r="R39" i="66"/>
  <c r="R97" i="66"/>
  <c r="R96" i="66"/>
  <c r="R94" i="66"/>
  <c r="R62" i="66"/>
  <c r="R54" i="66"/>
  <c r="R46" i="66"/>
  <c r="R38" i="66"/>
  <c r="R95" i="66"/>
  <c r="R45" i="66"/>
  <c r="R37" i="66"/>
  <c r="R100" i="66"/>
  <c r="R88" i="66"/>
  <c r="R82" i="66"/>
  <c r="R71" i="66"/>
  <c r="R53" i="66"/>
  <c r="R44" i="66"/>
  <c r="R36" i="66"/>
  <c r="X12" i="66"/>
  <c r="Z12" i="66" s="1"/>
  <c r="R91" i="66"/>
  <c r="R59" i="66"/>
  <c r="R58" i="66"/>
  <c r="R41" i="66"/>
  <c r="R87" i="66"/>
  <c r="R74" i="66"/>
  <c r="R65" i="66"/>
  <c r="R57" i="66"/>
  <c r="R48" i="66"/>
  <c r="R40" i="66"/>
  <c r="R66" i="66"/>
  <c r="R90" i="66"/>
  <c r="R67" i="66"/>
  <c r="P50" i="66"/>
  <c r="R79" i="66"/>
  <c r="R43" i="66"/>
  <c r="R42" i="66"/>
  <c r="R35" i="66"/>
  <c r="R56" i="66"/>
  <c r="D62" i="57"/>
  <c r="L58" i="57"/>
  <c r="N58" i="57" s="1"/>
  <c r="L18" i="98"/>
  <c r="D27" i="98"/>
  <c r="T27" i="97"/>
  <c r="Z18" i="97"/>
  <c r="D31" i="99"/>
  <c r="N20" i="95"/>
  <c r="L20" i="95"/>
  <c r="H24" i="95"/>
  <c r="F20" i="94"/>
  <c r="X20" i="94"/>
  <c r="P67" i="94"/>
  <c r="H28" i="92"/>
  <c r="P37" i="89"/>
  <c r="X17" i="89"/>
  <c r="T30" i="88"/>
  <c r="Z16" i="88"/>
  <c r="T31" i="84"/>
  <c r="X16" i="82"/>
  <c r="P32" i="82"/>
  <c r="J18" i="75"/>
  <c r="J27" i="75"/>
  <c r="H23" i="75"/>
  <c r="J31" i="75"/>
  <c r="J21" i="75"/>
  <c r="J20" i="75"/>
  <c r="J19" i="75"/>
  <c r="J25" i="75"/>
  <c r="L19" i="73"/>
  <c r="D60" i="73"/>
  <c r="F25" i="75"/>
  <c r="F18" i="75"/>
  <c r="F27" i="75"/>
  <c r="F31" i="75"/>
  <c r="D23" i="75"/>
  <c r="F21" i="75"/>
  <c r="L12" i="75"/>
  <c r="N12" i="75" s="1"/>
  <c r="F19" i="75"/>
  <c r="F20" i="75"/>
  <c r="X99" i="66"/>
  <c r="Z99" i="66" s="1"/>
  <c r="F39" i="67"/>
  <c r="F36" i="67"/>
  <c r="F28" i="67"/>
  <c r="F21" i="67"/>
  <c r="L12" i="67"/>
  <c r="F53" i="67"/>
  <c r="F46" i="67"/>
  <c r="F27" i="67"/>
  <c r="F41" i="67"/>
  <c r="F38" i="67"/>
  <c r="F33" i="67"/>
  <c r="F26" i="67"/>
  <c r="F25" i="67"/>
  <c r="F40" i="67"/>
  <c r="F35" i="67"/>
  <c r="F32" i="67"/>
  <c r="F23" i="67"/>
  <c r="F50" i="67"/>
  <c r="F42" i="67"/>
  <c r="F31" i="67"/>
  <c r="D21" i="67"/>
  <c r="F44" i="67"/>
  <c r="F37" i="67"/>
  <c r="F34" i="67"/>
  <c r="F48" i="67"/>
  <c r="F18" i="67"/>
  <c r="F29" i="67"/>
  <c r="F19" i="67"/>
  <c r="F24" i="67"/>
  <c r="F30" i="67"/>
  <c r="D39" i="65"/>
  <c r="L36" i="65"/>
  <c r="F60" i="64"/>
  <c r="F48" i="64"/>
  <c r="F28" i="64"/>
  <c r="F23" i="64"/>
  <c r="L12" i="64"/>
  <c r="N12" i="64" s="1"/>
  <c r="F67" i="64"/>
  <c r="F63" i="64"/>
  <c r="F59" i="64"/>
  <c r="F54" i="64"/>
  <c r="F51" i="64"/>
  <c r="F42" i="64"/>
  <c r="F38" i="64"/>
  <c r="F71" i="64"/>
  <c r="F66" i="64"/>
  <c r="F62" i="64"/>
  <c r="F50" i="64"/>
  <c r="F75" i="64"/>
  <c r="F69" i="64"/>
  <c r="F65" i="64"/>
  <c r="F56" i="64"/>
  <c r="F53" i="64"/>
  <c r="F41" i="64"/>
  <c r="D35" i="64"/>
  <c r="F33" i="64"/>
  <c r="F25" i="64"/>
  <c r="F61" i="64"/>
  <c r="F49" i="64"/>
  <c r="F46" i="64"/>
  <c r="F37" i="64"/>
  <c r="F30" i="64"/>
  <c r="F55" i="64"/>
  <c r="F52" i="64"/>
  <c r="F32" i="64"/>
  <c r="F64" i="64"/>
  <c r="F57" i="64"/>
  <c r="F43" i="64"/>
  <c r="F35" i="64"/>
  <c r="F24" i="64"/>
  <c r="F58" i="64"/>
  <c r="F47" i="64"/>
  <c r="F44" i="64"/>
  <c r="F39" i="64"/>
  <c r="F27" i="64"/>
  <c r="F26" i="64"/>
  <c r="F68" i="64"/>
  <c r="F40" i="64"/>
  <c r="F31" i="64"/>
  <c r="F29" i="64"/>
  <c r="F45" i="64"/>
  <c r="D51" i="61"/>
  <c r="H53" i="59"/>
  <c r="T27" i="50"/>
  <c r="Z18" i="50"/>
  <c r="T44" i="61"/>
  <c r="Z16" i="61"/>
  <c r="P56" i="56"/>
  <c r="X16" i="56"/>
  <c r="N27" i="50"/>
  <c r="H31" i="50"/>
  <c r="H27" i="46"/>
  <c r="N18" i="46"/>
  <c r="L18" i="46"/>
  <c r="D27" i="46"/>
  <c r="T27" i="53"/>
  <c r="Z18" i="53"/>
  <c r="T62" i="57"/>
  <c r="D91" i="42"/>
  <c r="L21" i="42"/>
  <c r="F21" i="42"/>
  <c r="D27" i="38"/>
  <c r="L18" i="38"/>
  <c r="R83" i="42"/>
  <c r="R78" i="42"/>
  <c r="R71" i="42"/>
  <c r="R46" i="42"/>
  <c r="R43" i="42"/>
  <c r="R38" i="42"/>
  <c r="R26" i="42"/>
  <c r="R23" i="42"/>
  <c r="R18" i="42"/>
  <c r="R88" i="42"/>
  <c r="R77" i="42"/>
  <c r="R57" i="42"/>
  <c r="R54" i="42"/>
  <c r="R49" i="42"/>
  <c r="R37" i="42"/>
  <c r="R25" i="42"/>
  <c r="R80" i="42"/>
  <c r="R76" i="42"/>
  <c r="R68" i="42"/>
  <c r="R45" i="42"/>
  <c r="R40" i="42"/>
  <c r="R36" i="42"/>
  <c r="R32" i="42"/>
  <c r="R17" i="42"/>
  <c r="R86" i="42"/>
  <c r="R75" i="42"/>
  <c r="R67" i="42"/>
  <c r="R63" i="42"/>
  <c r="R59" i="42"/>
  <c r="R56" i="42"/>
  <c r="R51" i="42"/>
  <c r="R48" i="42"/>
  <c r="R35" i="42"/>
  <c r="R31" i="42"/>
  <c r="R24" i="42"/>
  <c r="R89" i="42"/>
  <c r="R82" i="42"/>
  <c r="R79" i="42"/>
  <c r="R74" i="42"/>
  <c r="R70" i="42"/>
  <c r="R66" i="42"/>
  <c r="R62" i="42"/>
  <c r="R42" i="42"/>
  <c r="R39" i="42"/>
  <c r="R34" i="42"/>
  <c r="R30" i="42"/>
  <c r="R73" i="42"/>
  <c r="R65" i="42"/>
  <c r="R61" i="42"/>
  <c r="R58" i="42"/>
  <c r="R53" i="42"/>
  <c r="R50" i="42"/>
  <c r="R29" i="42"/>
  <c r="P21" i="42"/>
  <c r="R87" i="42"/>
  <c r="R84" i="42"/>
  <c r="R81" i="42"/>
  <c r="R72" i="42"/>
  <c r="R69" i="42"/>
  <c r="R44" i="42"/>
  <c r="R41" i="42"/>
  <c r="R33" i="42"/>
  <c r="R28" i="42"/>
  <c r="X12" i="42"/>
  <c r="Z12" i="42" s="1"/>
  <c r="R93" i="42"/>
  <c r="R64" i="42"/>
  <c r="R60" i="42"/>
  <c r="R55" i="42"/>
  <c r="R52" i="42"/>
  <c r="R47" i="42"/>
  <c r="R27" i="42"/>
  <c r="R19" i="42"/>
  <c r="X18" i="38"/>
  <c r="P27" i="38"/>
  <c r="X18" i="37"/>
  <c r="P27" i="37"/>
  <c r="T27" i="32"/>
  <c r="Z18" i="32"/>
  <c r="D31" i="41"/>
  <c r="L18" i="23"/>
  <c r="D27" i="23"/>
  <c r="L23" i="36"/>
  <c r="N23" i="36" s="1"/>
  <c r="D103" i="36"/>
  <c r="V102" i="27"/>
  <c r="V92" i="27"/>
  <c r="V88" i="27"/>
  <c r="V80" i="27"/>
  <c r="V72" i="27"/>
  <c r="V68" i="27"/>
  <c r="V56" i="27"/>
  <c r="V52" i="27"/>
  <c r="V48" i="27"/>
  <c r="V40" i="27"/>
  <c r="V95" i="27"/>
  <c r="V91" i="27"/>
  <c r="V79" i="27"/>
  <c r="V71" i="27"/>
  <c r="V67" i="27"/>
  <c r="V55" i="27"/>
  <c r="V47" i="27"/>
  <c r="V39" i="27"/>
  <c r="V100" i="27"/>
  <c r="V94" i="27"/>
  <c r="V90" i="27"/>
  <c r="V82" i="27"/>
  <c r="V74" i="27"/>
  <c r="V66" i="27"/>
  <c r="V62" i="27"/>
  <c r="V54" i="27"/>
  <c r="V46" i="27"/>
  <c r="V38" i="27"/>
  <c r="V97" i="27"/>
  <c r="V93" i="27"/>
  <c r="V81" i="27"/>
  <c r="V73" i="27"/>
  <c r="V65" i="27"/>
  <c r="V61" i="27"/>
  <c r="V53" i="27"/>
  <c r="V45" i="27"/>
  <c r="V37" i="27"/>
  <c r="V106" i="27"/>
  <c r="V96" i="27"/>
  <c r="V84" i="27"/>
  <c r="V76" i="27"/>
  <c r="V64" i="27"/>
  <c r="V60" i="27"/>
  <c r="V44" i="27"/>
  <c r="V36" i="27"/>
  <c r="V101" i="27"/>
  <c r="V87" i="27"/>
  <c r="V83" i="27"/>
  <c r="V75" i="27"/>
  <c r="V63" i="27"/>
  <c r="V59" i="27"/>
  <c r="T50" i="27"/>
  <c r="V50" i="27" s="1"/>
  <c r="V43" i="27"/>
  <c r="V35" i="27"/>
  <c r="V86" i="27"/>
  <c r="V78" i="27"/>
  <c r="V70" i="27"/>
  <c r="V58" i="27"/>
  <c r="V42" i="27"/>
  <c r="V99" i="27"/>
  <c r="V89" i="27"/>
  <c r="V85" i="27"/>
  <c r="V77" i="27"/>
  <c r="V69" i="27"/>
  <c r="V57" i="27"/>
  <c r="V41" i="27"/>
  <c r="H27" i="26"/>
  <c r="N18" i="26"/>
  <c r="H27" i="23"/>
  <c r="N18" i="23"/>
  <c r="J220" i="18"/>
  <c r="J204" i="18"/>
  <c r="J200" i="18"/>
  <c r="J192" i="18"/>
  <c r="J176" i="18"/>
  <c r="J170" i="18"/>
  <c r="J164" i="18"/>
  <c r="J152" i="18"/>
  <c r="J148" i="18"/>
  <c r="J136" i="18"/>
  <c r="H129" i="18"/>
  <c r="J120" i="18"/>
  <c r="J112" i="18"/>
  <c r="J104" i="18"/>
  <c r="J96" i="18"/>
  <c r="J215" i="18"/>
  <c r="J211" i="18"/>
  <c r="J207" i="18"/>
  <c r="J199" i="18"/>
  <c r="J195" i="18"/>
  <c r="J191" i="18"/>
  <c r="J187" i="18"/>
  <c r="J183" i="18"/>
  <c r="J175" i="18"/>
  <c r="J157" i="18"/>
  <c r="J147" i="18"/>
  <c r="J135" i="18"/>
  <c r="J127" i="18"/>
  <c r="J119" i="18"/>
  <c r="J111" i="18"/>
  <c r="J103" i="18"/>
  <c r="J95" i="18"/>
  <c r="J218" i="18"/>
  <c r="J210" i="18"/>
  <c r="J198" i="18"/>
  <c r="J194" i="18"/>
  <c r="J190" i="18"/>
  <c r="J186" i="18"/>
  <c r="J182" i="18"/>
  <c r="J178" i="18"/>
  <c r="J172" i="18"/>
  <c r="J166" i="18"/>
  <c r="J160" i="18"/>
  <c r="J154" i="18"/>
  <c r="J146" i="18"/>
  <c r="J142" i="18"/>
  <c r="J134" i="18"/>
  <c r="J126" i="18"/>
  <c r="J118" i="18"/>
  <c r="J110" i="18"/>
  <c r="J102" i="18"/>
  <c r="J94" i="18"/>
  <c r="J88" i="18"/>
  <c r="J221" i="18"/>
  <c r="J213" i="18"/>
  <c r="J209" i="18"/>
  <c r="J203" i="18"/>
  <c r="J197" i="18"/>
  <c r="J189" i="18"/>
  <c r="J185" i="18"/>
  <c r="J181" i="18"/>
  <c r="J169" i="18"/>
  <c r="J163" i="18"/>
  <c r="J151" i="18"/>
  <c r="J145" i="18"/>
  <c r="J141" i="18"/>
  <c r="J133" i="18"/>
  <c r="J131" i="18"/>
  <c r="J125" i="18"/>
  <c r="J117" i="18"/>
  <c r="J109" i="18"/>
  <c r="J101" i="18"/>
  <c r="J93" i="18"/>
  <c r="J216" i="18"/>
  <c r="J206" i="18"/>
  <c r="J180" i="18"/>
  <c r="J174" i="18"/>
  <c r="J168" i="18"/>
  <c r="J156" i="18"/>
  <c r="J144" i="18"/>
  <c r="J140" i="18"/>
  <c r="J124" i="18"/>
  <c r="J116" i="18"/>
  <c r="J108" i="18"/>
  <c r="J100" i="18"/>
  <c r="J92" i="18"/>
  <c r="J225" i="18"/>
  <c r="J219" i="18"/>
  <c r="J193" i="18"/>
  <c r="J177" i="18"/>
  <c r="J171" i="18"/>
  <c r="J165" i="18"/>
  <c r="J159" i="18"/>
  <c r="J153" i="18"/>
  <c r="J139" i="18"/>
  <c r="J123" i="18"/>
  <c r="J115" i="18"/>
  <c r="J107" i="18"/>
  <c r="J99" i="18"/>
  <c r="J91" i="18"/>
  <c r="J212" i="18"/>
  <c r="J208" i="18"/>
  <c r="J202" i="18"/>
  <c r="J196" i="18"/>
  <c r="J188" i="18"/>
  <c r="J184" i="18"/>
  <c r="J162" i="18"/>
  <c r="J158" i="18"/>
  <c r="J150" i="18"/>
  <c r="J138" i="18"/>
  <c r="J132" i="18"/>
  <c r="J122" i="18"/>
  <c r="J114" i="18"/>
  <c r="J106" i="18"/>
  <c r="J98" i="18"/>
  <c r="J90" i="18"/>
  <c r="J205" i="18"/>
  <c r="J167" i="18"/>
  <c r="J89" i="18"/>
  <c r="J97" i="18"/>
  <c r="J217" i="18"/>
  <c r="J179" i="18"/>
  <c r="J105" i="18"/>
  <c r="J173" i="18"/>
  <c r="J149" i="18"/>
  <c r="J201" i="18"/>
  <c r="J161" i="18"/>
  <c r="J137" i="18"/>
  <c r="J129" i="18"/>
  <c r="J113" i="18"/>
  <c r="J155" i="18"/>
  <c r="J143" i="18"/>
  <c r="J121" i="18"/>
  <c r="N27" i="20"/>
  <c r="H31" i="20"/>
  <c r="P31" i="10"/>
  <c r="H27" i="16"/>
  <c r="N18" i="16"/>
  <c r="Z200" i="12"/>
  <c r="P88" i="9"/>
  <c r="N27" i="14"/>
  <c r="H31" i="14"/>
  <c r="T27" i="14"/>
  <c r="Z18" i="14"/>
  <c r="F250" i="3"/>
  <c r="F241" i="3"/>
  <c r="F233" i="3"/>
  <c r="F228" i="3"/>
  <c r="F216" i="3"/>
  <c r="F211" i="3"/>
  <c r="F191" i="3"/>
  <c r="F188" i="3"/>
  <c r="F176" i="3"/>
  <c r="F171" i="3"/>
  <c r="F164" i="3"/>
  <c r="F159" i="3"/>
  <c r="F152" i="3"/>
  <c r="F148" i="3"/>
  <c r="F139" i="3"/>
  <c r="F132" i="3"/>
  <c r="F124" i="3"/>
  <c r="F116" i="3"/>
  <c r="F108" i="3"/>
  <c r="F100" i="3"/>
  <c r="L12" i="3"/>
  <c r="N12" i="3" s="1"/>
  <c r="F245" i="3"/>
  <c r="F236" i="3"/>
  <c r="F231" i="3"/>
  <c r="F227" i="3"/>
  <c r="F215" i="3"/>
  <c r="F207" i="3"/>
  <c r="F202" i="3"/>
  <c r="F198" i="3"/>
  <c r="F187" i="3"/>
  <c r="F182" i="3"/>
  <c r="F179" i="3"/>
  <c r="F167" i="3"/>
  <c r="F147" i="3"/>
  <c r="F131" i="3"/>
  <c r="F123" i="3"/>
  <c r="F115" i="3"/>
  <c r="F107" i="3"/>
  <c r="F99" i="3"/>
  <c r="F94" i="3"/>
  <c r="F239" i="3"/>
  <c r="F221" i="3"/>
  <c r="F214" i="3"/>
  <c r="F210" i="3"/>
  <c r="F206" i="3"/>
  <c r="F193" i="3"/>
  <c r="F190" i="3"/>
  <c r="F178" i="3"/>
  <c r="F173" i="3"/>
  <c r="F170" i="3"/>
  <c r="F166" i="3"/>
  <c r="F161" i="3"/>
  <c r="F158" i="3"/>
  <c r="F146" i="3"/>
  <c r="F130" i="3"/>
  <c r="F122" i="3"/>
  <c r="F114" i="3"/>
  <c r="F106" i="3"/>
  <c r="F98" i="3"/>
  <c r="F234" i="3"/>
  <c r="F224" i="3"/>
  <c r="F213" i="3"/>
  <c r="F209" i="3"/>
  <c r="F205" i="3"/>
  <c r="F201" i="3"/>
  <c r="F197" i="3"/>
  <c r="F184" i="3"/>
  <c r="F181" i="3"/>
  <c r="F169" i="3"/>
  <c r="F157" i="3"/>
  <c r="F145" i="3"/>
  <c r="F140" i="3"/>
  <c r="F129" i="3"/>
  <c r="F121" i="3"/>
  <c r="F113" i="3"/>
  <c r="F105" i="3"/>
  <c r="F97" i="3"/>
  <c r="F249" i="3"/>
  <c r="F237" i="3"/>
  <c r="F220" i="3"/>
  <c r="F212" i="3"/>
  <c r="F204" i="3"/>
  <c r="F200" i="3"/>
  <c r="F196" i="3"/>
  <c r="F192" i="3"/>
  <c r="F175" i="3"/>
  <c r="F172" i="3"/>
  <c r="F163" i="3"/>
  <c r="F160" i="3"/>
  <c r="F156" i="3"/>
  <c r="F151" i="3"/>
  <c r="F144" i="3"/>
  <c r="F137" i="3"/>
  <c r="F128" i="3"/>
  <c r="F120" i="3"/>
  <c r="F112" i="3"/>
  <c r="F104" i="3"/>
  <c r="F96" i="3"/>
  <c r="F240" i="3"/>
  <c r="F230" i="3"/>
  <c r="F226" i="3"/>
  <c r="F223" i="3"/>
  <c r="F219" i="3"/>
  <c r="F203" i="3"/>
  <c r="F199" i="3"/>
  <c r="F195" i="3"/>
  <c r="F186" i="3"/>
  <c r="F183" i="3"/>
  <c r="F155" i="3"/>
  <c r="F143" i="3"/>
  <c r="D137" i="3"/>
  <c r="F135" i="3"/>
  <c r="F127" i="3"/>
  <c r="F119" i="3"/>
  <c r="F111" i="3"/>
  <c r="F103" i="3"/>
  <c r="F95" i="3"/>
  <c r="F235" i="3"/>
  <c r="F222" i="3"/>
  <c r="F218" i="3"/>
  <c r="F194" i="3"/>
  <c r="F189" i="3"/>
  <c r="F177" i="3"/>
  <c r="F174" i="3"/>
  <c r="F165" i="3"/>
  <c r="F162" i="3"/>
  <c r="F154" i="3"/>
  <c r="F150" i="3"/>
  <c r="F142" i="3"/>
  <c r="F134" i="3"/>
  <c r="F126" i="3"/>
  <c r="F118" i="3"/>
  <c r="F110" i="3"/>
  <c r="F102" i="3"/>
  <c r="F229" i="3"/>
  <c r="F185" i="3"/>
  <c r="F168" i="3"/>
  <c r="F117" i="3"/>
  <c r="F149" i="3"/>
  <c r="F109" i="3"/>
  <c r="F101" i="3"/>
  <c r="F225" i="3"/>
  <c r="F133" i="3"/>
  <c r="F125" i="3"/>
  <c r="F208" i="3"/>
  <c r="F180" i="3"/>
  <c r="F217" i="3"/>
  <c r="F153" i="3"/>
  <c r="F238" i="3"/>
  <c r="F141" i="3"/>
  <c r="F101" i="66"/>
  <c r="F92" i="66"/>
  <c r="F83" i="66"/>
  <c r="F80" i="66"/>
  <c r="F75" i="66"/>
  <c r="F72" i="66"/>
  <c r="F68" i="66"/>
  <c r="F63" i="66"/>
  <c r="F99" i="66"/>
  <c r="F94" i="66"/>
  <c r="F85" i="66"/>
  <c r="F82" i="66"/>
  <c r="F77" i="66"/>
  <c r="F74" i="66"/>
  <c r="F66" i="66"/>
  <c r="F62" i="66"/>
  <c r="F102" i="66"/>
  <c r="F97" i="66"/>
  <c r="F88" i="66"/>
  <c r="F65" i="66"/>
  <c r="F106" i="66"/>
  <c r="F84" i="66"/>
  <c r="F79" i="66"/>
  <c r="F76" i="66"/>
  <c r="F71" i="66"/>
  <c r="F64" i="66"/>
  <c r="F60" i="66"/>
  <c r="F87" i="66"/>
  <c r="F86" i="66"/>
  <c r="F67" i="66"/>
  <c r="F43" i="66"/>
  <c r="F91" i="66"/>
  <c r="F90" i="66"/>
  <c r="F73" i="66"/>
  <c r="F59" i="66"/>
  <c r="F53" i="66"/>
  <c r="F42" i="66"/>
  <c r="F58" i="66"/>
  <c r="F57" i="66"/>
  <c r="F41" i="66"/>
  <c r="F93" i="66"/>
  <c r="F78" i="66"/>
  <c r="F61" i="66"/>
  <c r="F56" i="66"/>
  <c r="D50" i="66"/>
  <c r="F48" i="66"/>
  <c r="F40" i="66"/>
  <c r="F35" i="66"/>
  <c r="F52" i="66"/>
  <c r="F45" i="66"/>
  <c r="F37" i="66"/>
  <c r="F46" i="66"/>
  <c r="F38" i="66"/>
  <c r="F70" i="66"/>
  <c r="F47" i="66"/>
  <c r="F39" i="66"/>
  <c r="F54" i="66"/>
  <c r="F44" i="66"/>
  <c r="F36" i="66"/>
  <c r="L12" i="66"/>
  <c r="N12" i="66" s="1"/>
  <c r="F95" i="66"/>
  <c r="F89" i="66"/>
  <c r="F81" i="66"/>
  <c r="F69" i="66"/>
  <c r="F55" i="66"/>
  <c r="F100" i="66"/>
  <c r="F96" i="66"/>
  <c r="F212" i="18"/>
  <c r="F208" i="18"/>
  <c r="F205" i="18"/>
  <c r="F201" i="18"/>
  <c r="F196" i="18"/>
  <c r="F188" i="18"/>
  <c r="F184" i="18"/>
  <c r="F173" i="18"/>
  <c r="F161" i="18"/>
  <c r="F149" i="18"/>
  <c r="F137" i="18"/>
  <c r="F132" i="18"/>
  <c r="F121" i="18"/>
  <c r="F113" i="18"/>
  <c r="F105" i="18"/>
  <c r="F97" i="18"/>
  <c r="F89" i="18"/>
  <c r="F217" i="18"/>
  <c r="F204" i="18"/>
  <c r="F200" i="18"/>
  <c r="F192" i="18"/>
  <c r="F179" i="18"/>
  <c r="F176" i="18"/>
  <c r="F167" i="18"/>
  <c r="F164" i="18"/>
  <c r="F155" i="18"/>
  <c r="F152" i="18"/>
  <c r="F148" i="18"/>
  <c r="F143" i="18"/>
  <c r="F136" i="18"/>
  <c r="F120" i="18"/>
  <c r="F112" i="18"/>
  <c r="F104" i="18"/>
  <c r="F96" i="18"/>
  <c r="F220" i="18"/>
  <c r="F211" i="18"/>
  <c r="F207" i="18"/>
  <c r="F199" i="18"/>
  <c r="F195" i="18"/>
  <c r="F191" i="18"/>
  <c r="F187" i="18"/>
  <c r="F183" i="18"/>
  <c r="F175" i="18"/>
  <c r="F170" i="18"/>
  <c r="F147" i="18"/>
  <c r="F135" i="18"/>
  <c r="D129" i="18"/>
  <c r="F127" i="18"/>
  <c r="F119" i="18"/>
  <c r="F111" i="18"/>
  <c r="F103" i="18"/>
  <c r="F95" i="18"/>
  <c r="F215" i="18"/>
  <c r="F210" i="18"/>
  <c r="F198" i="18"/>
  <c r="F194" i="18"/>
  <c r="F190" i="18"/>
  <c r="F186" i="18"/>
  <c r="F182" i="18"/>
  <c r="F178" i="18"/>
  <c r="F166" i="18"/>
  <c r="F157" i="18"/>
  <c r="F154" i="18"/>
  <c r="F146" i="18"/>
  <c r="F142" i="18"/>
  <c r="F134" i="18"/>
  <c r="F126" i="18"/>
  <c r="F118" i="18"/>
  <c r="F110" i="18"/>
  <c r="F102" i="18"/>
  <c r="F94" i="18"/>
  <c r="F218" i="18"/>
  <c r="F213" i="18"/>
  <c r="F209" i="18"/>
  <c r="F197" i="18"/>
  <c r="F189" i="18"/>
  <c r="F185" i="18"/>
  <c r="F181" i="18"/>
  <c r="F172" i="18"/>
  <c r="F169" i="18"/>
  <c r="F160" i="18"/>
  <c r="F145" i="18"/>
  <c r="F141" i="18"/>
  <c r="F133" i="18"/>
  <c r="F125" i="18"/>
  <c r="F117" i="18"/>
  <c r="F109" i="18"/>
  <c r="F101" i="18"/>
  <c r="F93" i="18"/>
  <c r="F88" i="18"/>
  <c r="F221" i="18"/>
  <c r="F203" i="18"/>
  <c r="F180" i="18"/>
  <c r="F168" i="18"/>
  <c r="F163" i="18"/>
  <c r="F156" i="18"/>
  <c r="F151" i="18"/>
  <c r="F144" i="18"/>
  <c r="F140" i="18"/>
  <c r="F131" i="18"/>
  <c r="F124" i="18"/>
  <c r="F116" i="18"/>
  <c r="F108" i="18"/>
  <c r="F100" i="18"/>
  <c r="F92" i="18"/>
  <c r="L12" i="18"/>
  <c r="N12" i="18" s="1"/>
  <c r="F225" i="18"/>
  <c r="F216" i="18"/>
  <c r="F206" i="18"/>
  <c r="F174" i="18"/>
  <c r="F171" i="18"/>
  <c r="F159" i="18"/>
  <c r="F139" i="18"/>
  <c r="F123" i="18"/>
  <c r="F115" i="18"/>
  <c r="F107" i="18"/>
  <c r="F99" i="18"/>
  <c r="F91" i="18"/>
  <c r="F202" i="18"/>
  <c r="F177" i="18"/>
  <c r="F138" i="18"/>
  <c r="F114" i="18"/>
  <c r="F90" i="18"/>
  <c r="F122" i="18"/>
  <c r="F193" i="18"/>
  <c r="F98" i="18"/>
  <c r="F153" i="18"/>
  <c r="F219" i="18"/>
  <c r="F165" i="18"/>
  <c r="F158" i="18"/>
  <c r="F106" i="18"/>
  <c r="F162" i="18"/>
  <c r="F150" i="18"/>
  <c r="H27" i="5"/>
  <c r="N18" i="5"/>
  <c r="D36" i="10"/>
  <c r="H27" i="8"/>
  <c r="N18" i="8"/>
  <c r="L18" i="99"/>
  <c r="T28" i="95"/>
  <c r="V74" i="91"/>
  <c r="V68" i="91"/>
  <c r="V64" i="91"/>
  <c r="V60" i="91"/>
  <c r="V56" i="91"/>
  <c r="V48" i="91"/>
  <c r="V40" i="91"/>
  <c r="V36" i="91"/>
  <c r="V32" i="91"/>
  <c r="V24" i="91"/>
  <c r="V67" i="91"/>
  <c r="V63" i="91"/>
  <c r="V59" i="91"/>
  <c r="V55" i="91"/>
  <c r="V47" i="91"/>
  <c r="V39" i="91"/>
  <c r="V35" i="91"/>
  <c r="V31" i="91"/>
  <c r="V21" i="91"/>
  <c r="V62" i="91"/>
  <c r="V58" i="91"/>
  <c r="V50" i="91"/>
  <c r="V42" i="91"/>
  <c r="V34" i="91"/>
  <c r="V30" i="91"/>
  <c r="T21" i="91"/>
  <c r="V70" i="91"/>
  <c r="V52" i="91"/>
  <c r="V44" i="91"/>
  <c r="V51" i="91"/>
  <c r="V43" i="91"/>
  <c r="V27" i="91"/>
  <c r="V23" i="91"/>
  <c r="V19" i="91"/>
  <c r="V65" i="91"/>
  <c r="V46" i="91"/>
  <c r="Z12" i="91"/>
  <c r="V66" i="91"/>
  <c r="V29" i="91"/>
  <c r="V25" i="91"/>
  <c r="V61" i="91"/>
  <c r="V54" i="91"/>
  <c r="V45" i="91"/>
  <c r="V17" i="91"/>
  <c r="V33" i="91"/>
  <c r="V57" i="91"/>
  <c r="V53" i="91"/>
  <c r="V41" i="91"/>
  <c r="V28" i="91"/>
  <c r="V26" i="91"/>
  <c r="V37" i="91"/>
  <c r="V18" i="91"/>
  <c r="V49" i="91"/>
  <c r="V38" i="91"/>
  <c r="P72" i="91"/>
  <c r="X16" i="88"/>
  <c r="P30" i="88"/>
  <c r="P35" i="87"/>
  <c r="X57" i="86"/>
  <c r="Z57" i="86" s="1"/>
  <c r="H35" i="87"/>
  <c r="H37" i="88"/>
  <c r="P38" i="83"/>
  <c r="X16" i="83"/>
  <c r="T60" i="86"/>
  <c r="Z17" i="86"/>
  <c r="X17" i="86"/>
  <c r="D36" i="80"/>
  <c r="L32" i="80"/>
  <c r="T42" i="74"/>
  <c r="H60" i="73"/>
  <c r="N19" i="73"/>
  <c r="T89" i="77"/>
  <c r="N84" i="71"/>
  <c r="H46" i="74"/>
  <c r="H89" i="71"/>
  <c r="J46" i="71"/>
  <c r="Z68" i="70"/>
  <c r="V126" i="69"/>
  <c r="V116" i="69"/>
  <c r="V112" i="69"/>
  <c r="V108" i="69"/>
  <c r="V96" i="69"/>
  <c r="V92" i="69"/>
  <c r="V88" i="69"/>
  <c r="V84" i="69"/>
  <c r="V68" i="69"/>
  <c r="V60" i="69"/>
  <c r="V121" i="69"/>
  <c r="V115" i="69"/>
  <c r="V111" i="69"/>
  <c r="V95" i="69"/>
  <c r="V87" i="69"/>
  <c r="V83" i="69"/>
  <c r="T74" i="69"/>
  <c r="V67" i="69"/>
  <c r="V59" i="69"/>
  <c r="V118" i="69"/>
  <c r="V98" i="69"/>
  <c r="V94" i="69"/>
  <c r="V86" i="69"/>
  <c r="V82" i="69"/>
  <c r="V66" i="69"/>
  <c r="V117" i="69"/>
  <c r="V101" i="69"/>
  <c r="V97" i="69"/>
  <c r="V81" i="69"/>
  <c r="V65" i="69"/>
  <c r="V109" i="69"/>
  <c r="V107" i="69"/>
  <c r="V78" i="69"/>
  <c r="V76" i="69"/>
  <c r="V62" i="69"/>
  <c r="V61" i="69"/>
  <c r="V54" i="69"/>
  <c r="V110" i="69"/>
  <c r="V104" i="69"/>
  <c r="V89" i="69"/>
  <c r="V79" i="69"/>
  <c r="V63" i="69"/>
  <c r="V53" i="69"/>
  <c r="V122" i="69"/>
  <c r="V90" i="69"/>
  <c r="V64" i="69"/>
  <c r="V113" i="69"/>
  <c r="V91" i="69"/>
  <c r="V80" i="69"/>
  <c r="V69" i="69"/>
  <c r="V114" i="69"/>
  <c r="V93" i="69"/>
  <c r="V85" i="69"/>
  <c r="V70" i="69"/>
  <c r="V58" i="69"/>
  <c r="V106" i="69"/>
  <c r="V102" i="69"/>
  <c r="V99" i="69"/>
  <c r="V77" i="69"/>
  <c r="V55" i="69"/>
  <c r="V56" i="69"/>
  <c r="V103" i="69"/>
  <c r="V57" i="69"/>
  <c r="V72" i="69"/>
  <c r="V105" i="69"/>
  <c r="V71" i="69"/>
  <c r="V120" i="69"/>
  <c r="V100" i="69"/>
  <c r="H36" i="65"/>
  <c r="N32" i="65"/>
  <c r="R120" i="69"/>
  <c r="R113" i="69"/>
  <c r="R109" i="69"/>
  <c r="R102" i="69"/>
  <c r="R93" i="69"/>
  <c r="R89" i="69"/>
  <c r="R85" i="69"/>
  <c r="R69" i="69"/>
  <c r="R61" i="69"/>
  <c r="R126" i="69"/>
  <c r="R116" i="69"/>
  <c r="R112" i="69"/>
  <c r="R105" i="69"/>
  <c r="R96" i="69"/>
  <c r="R88" i="69"/>
  <c r="R84" i="69"/>
  <c r="R77" i="69"/>
  <c r="R68" i="69"/>
  <c r="R60" i="69"/>
  <c r="R108" i="69"/>
  <c r="R95" i="69"/>
  <c r="R92" i="69"/>
  <c r="R87" i="69"/>
  <c r="R83" i="69"/>
  <c r="R74" i="69"/>
  <c r="R67" i="69"/>
  <c r="R59" i="69"/>
  <c r="R121" i="69"/>
  <c r="R118" i="69"/>
  <c r="R115" i="69"/>
  <c r="R111" i="69"/>
  <c r="R98" i="69"/>
  <c r="R82" i="69"/>
  <c r="P74" i="69"/>
  <c r="R66" i="69"/>
  <c r="R106" i="69"/>
  <c r="R103" i="69"/>
  <c r="R101" i="69"/>
  <c r="R100" i="69"/>
  <c r="R55" i="69"/>
  <c r="R107" i="69"/>
  <c r="R78" i="69"/>
  <c r="R62" i="69"/>
  <c r="R54" i="69"/>
  <c r="R110" i="69"/>
  <c r="R104" i="69"/>
  <c r="R79" i="69"/>
  <c r="R76" i="69"/>
  <c r="R63" i="69"/>
  <c r="R94" i="69"/>
  <c r="R90" i="69"/>
  <c r="R86" i="69"/>
  <c r="R64" i="69"/>
  <c r="R53" i="69"/>
  <c r="X12" i="69"/>
  <c r="Z12" i="69" s="1"/>
  <c r="R122" i="69"/>
  <c r="R117" i="69"/>
  <c r="R91" i="69"/>
  <c r="R80" i="69"/>
  <c r="R65" i="69"/>
  <c r="R72" i="69"/>
  <c r="R99" i="69"/>
  <c r="R56" i="69"/>
  <c r="R114" i="69"/>
  <c r="R70" i="69"/>
  <c r="R57" i="69"/>
  <c r="R71" i="69"/>
  <c r="R58" i="69"/>
  <c r="R97" i="69"/>
  <c r="R81" i="69"/>
  <c r="N89" i="62"/>
  <c r="H93" i="62"/>
  <c r="R86" i="51"/>
  <c r="R71" i="51"/>
  <c r="R68" i="51"/>
  <c r="R63" i="51"/>
  <c r="R51" i="51"/>
  <c r="R48" i="51"/>
  <c r="R43" i="51"/>
  <c r="R35" i="51"/>
  <c r="R74" i="51"/>
  <c r="R62" i="51"/>
  <c r="R58" i="51"/>
  <c r="R50" i="51"/>
  <c r="R42" i="51"/>
  <c r="R34" i="51"/>
  <c r="R84" i="51"/>
  <c r="R70" i="51"/>
  <c r="R65" i="51"/>
  <c r="R61" i="51"/>
  <c r="R57" i="51"/>
  <c r="R41" i="51"/>
  <c r="R87" i="51"/>
  <c r="R80" i="51"/>
  <c r="R76" i="51"/>
  <c r="R73" i="51"/>
  <c r="R60" i="51"/>
  <c r="R56" i="51"/>
  <c r="R49" i="51"/>
  <c r="R40" i="51"/>
  <c r="R33" i="51"/>
  <c r="R79" i="51"/>
  <c r="R67" i="51"/>
  <c r="R64" i="51"/>
  <c r="R55" i="51"/>
  <c r="R39" i="51"/>
  <c r="R85" i="51"/>
  <c r="R82" i="51"/>
  <c r="R78" i="51"/>
  <c r="R75" i="51"/>
  <c r="R59" i="51"/>
  <c r="R54" i="51"/>
  <c r="R72" i="51"/>
  <c r="R38" i="51"/>
  <c r="R81" i="51"/>
  <c r="R53" i="51"/>
  <c r="R69" i="51"/>
  <c r="R66" i="51"/>
  <c r="P46" i="51"/>
  <c r="R46" i="51" s="1"/>
  <c r="R36" i="51"/>
  <c r="R91" i="51"/>
  <c r="R37" i="51"/>
  <c r="X12" i="51"/>
  <c r="Z12" i="51" s="1"/>
  <c r="R77" i="51"/>
  <c r="R52" i="51"/>
  <c r="R44" i="51"/>
  <c r="T39" i="65"/>
  <c r="H31" i="47"/>
  <c r="N27" i="47"/>
  <c r="D60" i="56"/>
  <c r="L56" i="56"/>
  <c r="N56" i="56" s="1"/>
  <c r="L18" i="49"/>
  <c r="D27" i="49"/>
  <c r="V21" i="45"/>
  <c r="P27" i="41"/>
  <c r="X18" i="41"/>
  <c r="H27" i="35"/>
  <c r="N18" i="35"/>
  <c r="L18" i="32"/>
  <c r="D27" i="32"/>
  <c r="F64" i="24"/>
  <c r="F61" i="24"/>
  <c r="F52" i="24"/>
  <c r="F49" i="24"/>
  <c r="F45" i="24"/>
  <c r="D39" i="24"/>
  <c r="F37" i="24"/>
  <c r="F29" i="24"/>
  <c r="F67" i="24"/>
  <c r="F48" i="24"/>
  <c r="F44" i="24"/>
  <c r="F36" i="24"/>
  <c r="F28" i="24"/>
  <c r="L12" i="24"/>
  <c r="F74" i="24"/>
  <c r="F70" i="24"/>
  <c r="F63" i="24"/>
  <c r="F54" i="24"/>
  <c r="F51" i="24"/>
  <c r="F43" i="24"/>
  <c r="F35" i="24"/>
  <c r="F66" i="24"/>
  <c r="F57" i="24"/>
  <c r="F41" i="24"/>
  <c r="F34" i="24"/>
  <c r="F73" i="24"/>
  <c r="F69" i="24"/>
  <c r="F65" i="24"/>
  <c r="F60" i="24"/>
  <c r="F53" i="24"/>
  <c r="F33" i="24"/>
  <c r="F77" i="24"/>
  <c r="F72" i="24"/>
  <c r="F68" i="24"/>
  <c r="F56" i="24"/>
  <c r="F47" i="24"/>
  <c r="F32" i="24"/>
  <c r="F27" i="24"/>
  <c r="F81" i="24"/>
  <c r="F75" i="24"/>
  <c r="F71" i="24"/>
  <c r="F62" i="24"/>
  <c r="F59" i="24"/>
  <c r="F55" i="24"/>
  <c r="F50" i="24"/>
  <c r="F42" i="24"/>
  <c r="F31" i="24"/>
  <c r="F58" i="24"/>
  <c r="F46" i="24"/>
  <c r="F30" i="24"/>
  <c r="P27" i="23"/>
  <c r="X18" i="23"/>
  <c r="F127" i="30"/>
  <c r="F123" i="30"/>
  <c r="F133" i="30"/>
  <c r="F130" i="30"/>
  <c r="F126" i="30"/>
  <c r="F138" i="30"/>
  <c r="F125" i="30"/>
  <c r="F116" i="30"/>
  <c r="F142" i="30"/>
  <c r="F132" i="30"/>
  <c r="F119" i="30"/>
  <c r="F112" i="30"/>
  <c r="F136" i="30"/>
  <c r="F122" i="30"/>
  <c r="F115" i="30"/>
  <c r="F134" i="30"/>
  <c r="F129" i="30"/>
  <c r="F118" i="30"/>
  <c r="F114" i="30"/>
  <c r="F124" i="30"/>
  <c r="F121" i="30"/>
  <c r="F117" i="30"/>
  <c r="F137" i="30"/>
  <c r="F131" i="30"/>
  <c r="F128" i="30"/>
  <c r="F120" i="30"/>
  <c r="F111" i="30"/>
  <c r="F103" i="30"/>
  <c r="F100" i="30"/>
  <c r="F80" i="30"/>
  <c r="D74" i="30"/>
  <c r="F72" i="30"/>
  <c r="F64" i="30"/>
  <c r="F56" i="30"/>
  <c r="F106" i="30"/>
  <c r="F99" i="30"/>
  <c r="F94" i="30"/>
  <c r="F91" i="30"/>
  <c r="F86" i="30"/>
  <c r="F79" i="30"/>
  <c r="F71" i="30"/>
  <c r="F63" i="30"/>
  <c r="F55" i="30"/>
  <c r="F102" i="30"/>
  <c r="F90" i="30"/>
  <c r="F78" i="30"/>
  <c r="F70" i="30"/>
  <c r="F62" i="30"/>
  <c r="F54" i="30"/>
  <c r="F108" i="30"/>
  <c r="F105" i="30"/>
  <c r="F96" i="30"/>
  <c r="F93" i="30"/>
  <c r="F89" i="30"/>
  <c r="F85" i="30"/>
  <c r="F76" i="30"/>
  <c r="F69" i="30"/>
  <c r="F61" i="30"/>
  <c r="F104" i="30"/>
  <c r="F88" i="30"/>
  <c r="F84" i="30"/>
  <c r="F68" i="30"/>
  <c r="F60" i="30"/>
  <c r="L12" i="30"/>
  <c r="F107" i="30"/>
  <c r="F98" i="30"/>
  <c r="F95" i="30"/>
  <c r="F87" i="30"/>
  <c r="F83" i="30"/>
  <c r="F67" i="30"/>
  <c r="F59" i="30"/>
  <c r="F110" i="30"/>
  <c r="F101" i="30"/>
  <c r="F82" i="30"/>
  <c r="F77" i="30"/>
  <c r="F66" i="30"/>
  <c r="F58" i="30"/>
  <c r="F53" i="30"/>
  <c r="F113" i="30"/>
  <c r="F109" i="30"/>
  <c r="F97" i="30"/>
  <c r="F92" i="30"/>
  <c r="F81" i="30"/>
  <c r="F74" i="30"/>
  <c r="F65" i="30"/>
  <c r="F57" i="30"/>
  <c r="X18" i="29"/>
  <c r="P27" i="29"/>
  <c r="D101" i="39"/>
  <c r="X18" i="28"/>
  <c r="P27" i="28"/>
  <c r="H27" i="17"/>
  <c r="N18" i="17"/>
  <c r="L50" i="27"/>
  <c r="N50" i="27" s="1"/>
  <c r="D104" i="27"/>
  <c r="T27" i="17"/>
  <c r="X27" i="17" s="1"/>
  <c r="Z18" i="17"/>
  <c r="P27" i="20"/>
  <c r="X18" i="20"/>
  <c r="N193" i="15"/>
  <c r="X18" i="13"/>
  <c r="P27" i="13"/>
  <c r="T22" i="6"/>
  <c r="Z16" i="6"/>
  <c r="V197" i="15"/>
  <c r="V191" i="15"/>
  <c r="V187" i="15"/>
  <c r="V175" i="15"/>
  <c r="V171" i="15"/>
  <c r="V167" i="15"/>
  <c r="V163" i="15"/>
  <c r="V159" i="15"/>
  <c r="V155" i="15"/>
  <c r="V147" i="15"/>
  <c r="V143" i="15"/>
  <c r="V131" i="15"/>
  <c r="V123" i="15"/>
  <c r="V119" i="15"/>
  <c r="V111" i="15"/>
  <c r="V103" i="15"/>
  <c r="V95" i="15"/>
  <c r="V87" i="15"/>
  <c r="V79" i="15"/>
  <c r="V190" i="15"/>
  <c r="V186" i="15"/>
  <c r="V174" i="15"/>
  <c r="V166" i="15"/>
  <c r="V162" i="15"/>
  <c r="V158" i="15"/>
  <c r="V146" i="15"/>
  <c r="V134" i="15"/>
  <c r="V122" i="15"/>
  <c r="V118" i="15"/>
  <c r="V110" i="15"/>
  <c r="V102" i="15"/>
  <c r="V94" i="15"/>
  <c r="V86" i="15"/>
  <c r="V78" i="15"/>
  <c r="V195" i="15"/>
  <c r="V157" i="15"/>
  <c r="V149" i="15"/>
  <c r="V145" i="15"/>
  <c r="V137" i="15"/>
  <c r="V133" i="15"/>
  <c r="V121" i="15"/>
  <c r="V117" i="15"/>
  <c r="V101" i="15"/>
  <c r="V93" i="15"/>
  <c r="V85" i="15"/>
  <c r="V77" i="15"/>
  <c r="V180" i="15"/>
  <c r="V148" i="15"/>
  <c r="V140" i="15"/>
  <c r="V136" i="15"/>
  <c r="V128" i="15"/>
  <c r="V116" i="15"/>
  <c r="T107" i="15"/>
  <c r="V100" i="15"/>
  <c r="V92" i="15"/>
  <c r="V84" i="15"/>
  <c r="V76" i="15"/>
  <c r="V201" i="15"/>
  <c r="V193" i="15"/>
  <c r="V183" i="15"/>
  <c r="V179" i="15"/>
  <c r="V151" i="15"/>
  <c r="V139" i="15"/>
  <c r="V135" i="15"/>
  <c r="V127" i="15"/>
  <c r="V115" i="15"/>
  <c r="V99" i="15"/>
  <c r="V91" i="15"/>
  <c r="V83" i="15"/>
  <c r="V75" i="15"/>
  <c r="V196" i="15"/>
  <c r="V182" i="15"/>
  <c r="V178" i="15"/>
  <c r="V170" i="15"/>
  <c r="V154" i="15"/>
  <c r="V150" i="15"/>
  <c r="V142" i="15"/>
  <c r="V138" i="15"/>
  <c r="V130" i="15"/>
  <c r="V126" i="15"/>
  <c r="V114" i="15"/>
  <c r="V98" i="15"/>
  <c r="V90" i="15"/>
  <c r="V164" i="15"/>
  <c r="V112" i="15"/>
  <c r="V109" i="15"/>
  <c r="V104" i="15"/>
  <c r="V89" i="15"/>
  <c r="V74" i="15"/>
  <c r="V176" i="15"/>
  <c r="V165" i="15"/>
  <c r="V144" i="15"/>
  <c r="V105" i="15"/>
  <c r="V173" i="15"/>
  <c r="V132" i="15"/>
  <c r="V113" i="15"/>
  <c r="V96" i="15"/>
  <c r="V169" i="15"/>
  <c r="V156" i="15"/>
  <c r="V152" i="15"/>
  <c r="V141" i="15"/>
  <c r="V125" i="15"/>
  <c r="V188" i="15"/>
  <c r="V184" i="15"/>
  <c r="V177" i="15"/>
  <c r="V129" i="15"/>
  <c r="V97" i="15"/>
  <c r="V80" i="15"/>
  <c r="V181" i="15"/>
  <c r="V160" i="15"/>
  <c r="V88" i="15"/>
  <c r="V81" i="15"/>
  <c r="V73" i="15"/>
  <c r="V189" i="15"/>
  <c r="V185" i="15"/>
  <c r="V153" i="15"/>
  <c r="V120" i="15"/>
  <c r="V82" i="15"/>
  <c r="Z12" i="15"/>
  <c r="V194" i="15"/>
  <c r="V168" i="15"/>
  <c r="V161" i="15"/>
  <c r="V124" i="15"/>
  <c r="V172" i="15"/>
  <c r="P22" i="6"/>
  <c r="X16" i="6"/>
  <c r="T223" i="18"/>
  <c r="V250" i="3"/>
  <c r="V241" i="3"/>
  <c r="V233" i="3"/>
  <c r="V223" i="3"/>
  <c r="V219" i="3"/>
  <c r="V211" i="3"/>
  <c r="V203" i="3"/>
  <c r="V199" i="3"/>
  <c r="V195" i="3"/>
  <c r="V191" i="3"/>
  <c r="V183" i="3"/>
  <c r="V171" i="3"/>
  <c r="V159" i="3"/>
  <c r="V155" i="3"/>
  <c r="V143" i="3"/>
  <c r="V139" i="3"/>
  <c r="V135" i="3"/>
  <c r="V127" i="3"/>
  <c r="V119" i="3"/>
  <c r="V111" i="3"/>
  <c r="V103" i="3"/>
  <c r="V95" i="3"/>
  <c r="V236" i="3"/>
  <c r="V222" i="3"/>
  <c r="V218" i="3"/>
  <c r="V202" i="3"/>
  <c r="V198" i="3"/>
  <c r="V194" i="3"/>
  <c r="V182" i="3"/>
  <c r="V174" i="3"/>
  <c r="V162" i="3"/>
  <c r="V154" i="3"/>
  <c r="V150" i="3"/>
  <c r="V142" i="3"/>
  <c r="V134" i="3"/>
  <c r="V126" i="3"/>
  <c r="V118" i="3"/>
  <c r="V110" i="3"/>
  <c r="V102" i="3"/>
  <c r="V94" i="3"/>
  <c r="V239" i="3"/>
  <c r="V229" i="3"/>
  <c r="V225" i="3"/>
  <c r="V221" i="3"/>
  <c r="V217" i="3"/>
  <c r="V193" i="3"/>
  <c r="V185" i="3"/>
  <c r="V173" i="3"/>
  <c r="V161" i="3"/>
  <c r="V153" i="3"/>
  <c r="V149" i="3"/>
  <c r="V141" i="3"/>
  <c r="V133" i="3"/>
  <c r="V125" i="3"/>
  <c r="V117" i="3"/>
  <c r="V109" i="3"/>
  <c r="V101" i="3"/>
  <c r="V234" i="3"/>
  <c r="V228" i="3"/>
  <c r="V224" i="3"/>
  <c r="V216" i="3"/>
  <c r="V188" i="3"/>
  <c r="V184" i="3"/>
  <c r="V176" i="3"/>
  <c r="V164" i="3"/>
  <c r="V152" i="3"/>
  <c r="V148" i="3"/>
  <c r="V140" i="3"/>
  <c r="V132" i="3"/>
  <c r="V124" i="3"/>
  <c r="V116" i="3"/>
  <c r="V108" i="3"/>
  <c r="V100" i="3"/>
  <c r="V249" i="3"/>
  <c r="V245" i="3"/>
  <c r="V237" i="3"/>
  <c r="V231" i="3"/>
  <c r="V227" i="3"/>
  <c r="V215" i="3"/>
  <c r="V207" i="3"/>
  <c r="V187" i="3"/>
  <c r="V179" i="3"/>
  <c r="V175" i="3"/>
  <c r="V167" i="3"/>
  <c r="V163" i="3"/>
  <c r="V151" i="3"/>
  <c r="V147" i="3"/>
  <c r="V131" i="3"/>
  <c r="V123" i="3"/>
  <c r="V115" i="3"/>
  <c r="V107" i="3"/>
  <c r="V99" i="3"/>
  <c r="V240" i="3"/>
  <c r="V230" i="3"/>
  <c r="V226" i="3"/>
  <c r="V214" i="3"/>
  <c r="V210" i="3"/>
  <c r="V206" i="3"/>
  <c r="V190" i="3"/>
  <c r="V186" i="3"/>
  <c r="V178" i="3"/>
  <c r="V170" i="3"/>
  <c r="V166" i="3"/>
  <c r="V158" i="3"/>
  <c r="V146" i="3"/>
  <c r="T137" i="3"/>
  <c r="V130" i="3"/>
  <c r="V122" i="3"/>
  <c r="V114" i="3"/>
  <c r="V106" i="3"/>
  <c r="V98" i="3"/>
  <c r="V235" i="3"/>
  <c r="V213" i="3"/>
  <c r="V209" i="3"/>
  <c r="V205" i="3"/>
  <c r="V201" i="3"/>
  <c r="V197" i="3"/>
  <c r="V189" i="3"/>
  <c r="V181" i="3"/>
  <c r="V177" i="3"/>
  <c r="V169" i="3"/>
  <c r="V165" i="3"/>
  <c r="V157" i="3"/>
  <c r="V145" i="3"/>
  <c r="V129" i="3"/>
  <c r="V121" i="3"/>
  <c r="V113" i="3"/>
  <c r="V105" i="3"/>
  <c r="V97" i="3"/>
  <c r="V208" i="3"/>
  <c r="V200" i="3"/>
  <c r="V180" i="3"/>
  <c r="V144" i="3"/>
  <c r="V120" i="3"/>
  <c r="V238" i="3"/>
  <c r="V160" i="3"/>
  <c r="V128" i="3"/>
  <c r="V104" i="3"/>
  <c r="V220" i="3"/>
  <c r="V168" i="3"/>
  <c r="V204" i="3"/>
  <c r="V196" i="3"/>
  <c r="V112" i="3"/>
  <c r="V212" i="3"/>
  <c r="V172" i="3"/>
  <c r="V156" i="3"/>
  <c r="V96" i="3"/>
  <c r="V192" i="3"/>
  <c r="X193" i="15"/>
  <c r="Z233" i="3"/>
  <c r="X17" i="96"/>
  <c r="P55" i="96"/>
  <c r="T36" i="82"/>
  <c r="P32" i="65"/>
  <c r="X16" i="65"/>
  <c r="L16" i="58"/>
  <c r="D60" i="58"/>
  <c r="H60" i="56"/>
  <c r="F21" i="45"/>
  <c r="L18" i="97"/>
  <c r="D27" i="97"/>
  <c r="H55" i="96"/>
  <c r="J17" i="96"/>
  <c r="N52" i="96"/>
  <c r="R17" i="96"/>
  <c r="T27" i="99"/>
  <c r="X27" i="99" s="1"/>
  <c r="Z18" i="99"/>
  <c r="X16" i="95"/>
  <c r="P24" i="95"/>
  <c r="H77" i="93"/>
  <c r="J21" i="91"/>
  <c r="H83" i="85"/>
  <c r="H36" i="80"/>
  <c r="N32" i="80"/>
  <c r="H25" i="78"/>
  <c r="N19" i="78"/>
  <c r="J81" i="77"/>
  <c r="J77" i="77"/>
  <c r="J71" i="77"/>
  <c r="J63" i="77"/>
  <c r="J55" i="77"/>
  <c r="J45" i="77"/>
  <c r="J74" i="77"/>
  <c r="J68" i="77"/>
  <c r="J60" i="77"/>
  <c r="J44" i="77"/>
  <c r="H37" i="77"/>
  <c r="N12" i="77"/>
  <c r="J87" i="77"/>
  <c r="J83" i="77"/>
  <c r="J65" i="77"/>
  <c r="J57" i="77"/>
  <c r="J49" i="77"/>
  <c r="J43" i="77"/>
  <c r="J35" i="77"/>
  <c r="J80" i="77"/>
  <c r="J76" i="77"/>
  <c r="J70" i="77"/>
  <c r="J62" i="77"/>
  <c r="J54" i="77"/>
  <c r="J42" i="77"/>
  <c r="J34" i="77"/>
  <c r="J91" i="77"/>
  <c r="J85" i="77"/>
  <c r="J73" i="77"/>
  <c r="J67" i="77"/>
  <c r="J59" i="77"/>
  <c r="J53" i="77"/>
  <c r="J41" i="77"/>
  <c r="J39" i="77"/>
  <c r="J82" i="77"/>
  <c r="J79" i="77"/>
  <c r="J75" i="77"/>
  <c r="J69" i="77"/>
  <c r="J61" i="77"/>
  <c r="J51" i="77"/>
  <c r="J47" i="77"/>
  <c r="J33" i="77"/>
  <c r="J72" i="77"/>
  <c r="J48" i="77"/>
  <c r="J84" i="77"/>
  <c r="J58" i="77"/>
  <c r="J40" i="77"/>
  <c r="J52" i="77"/>
  <c r="J46" i="77"/>
  <c r="J66" i="77"/>
  <c r="J78" i="77"/>
  <c r="J64" i="77"/>
  <c r="J50" i="77"/>
  <c r="J56" i="77"/>
  <c r="R70" i="77"/>
  <c r="R67" i="77"/>
  <c r="R62" i="77"/>
  <c r="R59" i="77"/>
  <c r="R54" i="77"/>
  <c r="R42" i="77"/>
  <c r="R39" i="77"/>
  <c r="R34" i="77"/>
  <c r="R91" i="77"/>
  <c r="R85" i="77"/>
  <c r="R82" i="77"/>
  <c r="R73" i="77"/>
  <c r="R53" i="77"/>
  <c r="R41" i="77"/>
  <c r="R72" i="77"/>
  <c r="R69" i="77"/>
  <c r="R64" i="77"/>
  <c r="R61" i="77"/>
  <c r="R56" i="77"/>
  <c r="R52" i="77"/>
  <c r="R48" i="77"/>
  <c r="R33" i="77"/>
  <c r="R84" i="77"/>
  <c r="R79" i="77"/>
  <c r="R75" i="77"/>
  <c r="R51" i="77"/>
  <c r="R47" i="77"/>
  <c r="R40" i="77"/>
  <c r="R78" i="77"/>
  <c r="R71" i="77"/>
  <c r="R66" i="77"/>
  <c r="R63" i="77"/>
  <c r="R58" i="77"/>
  <c r="R55" i="77"/>
  <c r="R50" i="77"/>
  <c r="R46" i="77"/>
  <c r="R81" i="77"/>
  <c r="R77" i="77"/>
  <c r="R74" i="77"/>
  <c r="R87" i="77"/>
  <c r="R68" i="77"/>
  <c r="R65" i="77"/>
  <c r="R60" i="77"/>
  <c r="R57" i="77"/>
  <c r="R49" i="77"/>
  <c r="R44" i="77"/>
  <c r="X12" i="77"/>
  <c r="Z12" i="77" s="1"/>
  <c r="R83" i="77"/>
  <c r="R43" i="77"/>
  <c r="R80" i="77"/>
  <c r="P37" i="77"/>
  <c r="R76" i="77"/>
  <c r="R45" i="77"/>
  <c r="R35" i="77"/>
  <c r="V51" i="73"/>
  <c r="V47" i="73"/>
  <c r="V43" i="73"/>
  <c r="V35" i="73"/>
  <c r="V31" i="73"/>
  <c r="V27" i="73"/>
  <c r="V54" i="73"/>
  <c r="V50" i="73"/>
  <c r="V46" i="73"/>
  <c r="V38" i="73"/>
  <c r="V26" i="73"/>
  <c r="V53" i="73"/>
  <c r="V49" i="73"/>
  <c r="V37" i="73"/>
  <c r="V25" i="73"/>
  <c r="V21" i="73"/>
  <c r="V17" i="73"/>
  <c r="V62" i="73"/>
  <c r="V56" i="73"/>
  <c r="V48" i="73"/>
  <c r="V40" i="73"/>
  <c r="V24" i="73"/>
  <c r="V16" i="73"/>
  <c r="V55" i="73"/>
  <c r="V39" i="73"/>
  <c r="V23" i="73"/>
  <c r="V42" i="73"/>
  <c r="V34" i="73"/>
  <c r="V30" i="73"/>
  <c r="V22" i="73"/>
  <c r="V36" i="73"/>
  <c r="V28" i="73"/>
  <c r="V32" i="73"/>
  <c r="T19" i="73"/>
  <c r="V33" i="73"/>
  <c r="V29" i="73"/>
  <c r="V58" i="73"/>
  <c r="V52" i="73"/>
  <c r="V44" i="73"/>
  <c r="V41" i="73"/>
  <c r="Z12" i="73"/>
  <c r="V45" i="73"/>
  <c r="X19" i="73"/>
  <c r="P60" i="73"/>
  <c r="N29" i="72"/>
  <c r="L29" i="72"/>
  <c r="L68" i="70"/>
  <c r="R84" i="71"/>
  <c r="R87" i="71"/>
  <c r="R79" i="71"/>
  <c r="R85" i="71"/>
  <c r="R82" i="71"/>
  <c r="R78" i="71"/>
  <c r="R75" i="71"/>
  <c r="R91" i="71"/>
  <c r="R81" i="71"/>
  <c r="R77" i="71"/>
  <c r="R72" i="71"/>
  <c r="R86" i="71"/>
  <c r="R68" i="71"/>
  <c r="R63" i="71"/>
  <c r="R62" i="71"/>
  <c r="R58" i="71"/>
  <c r="R50" i="71"/>
  <c r="R42" i="71"/>
  <c r="R34" i="71"/>
  <c r="R80" i="71"/>
  <c r="R65" i="71"/>
  <c r="R61" i="71"/>
  <c r="R57" i="71"/>
  <c r="R41" i="71"/>
  <c r="R60" i="71"/>
  <c r="R56" i="71"/>
  <c r="R49" i="71"/>
  <c r="R40" i="71"/>
  <c r="R33" i="71"/>
  <c r="R76" i="71"/>
  <c r="R73" i="71"/>
  <c r="R71" i="71"/>
  <c r="R67" i="71"/>
  <c r="R64" i="71"/>
  <c r="R55" i="71"/>
  <c r="R46" i="71"/>
  <c r="R39" i="71"/>
  <c r="R74" i="71"/>
  <c r="R70" i="71"/>
  <c r="R59" i="71"/>
  <c r="R54" i="71"/>
  <c r="P46" i="71"/>
  <c r="R38" i="71"/>
  <c r="R44" i="71"/>
  <c r="R37" i="71"/>
  <c r="R51" i="71"/>
  <c r="R69" i="71"/>
  <c r="R66" i="71"/>
  <c r="R52" i="71"/>
  <c r="R36" i="71"/>
  <c r="R53" i="71"/>
  <c r="R48" i="71"/>
  <c r="X12" i="71"/>
  <c r="Z12" i="71" s="1"/>
  <c r="R43" i="71"/>
  <c r="R35" i="71"/>
  <c r="D93" i="62"/>
  <c r="L89" i="62"/>
  <c r="T89" i="62"/>
  <c r="Z16" i="62"/>
  <c r="D42" i="60"/>
  <c r="L16" i="60"/>
  <c r="N86" i="62"/>
  <c r="X18" i="49"/>
  <c r="P27" i="49"/>
  <c r="T37" i="55"/>
  <c r="Z86" i="42"/>
  <c r="X16" i="57"/>
  <c r="P58" i="57"/>
  <c r="T60" i="56"/>
  <c r="T27" i="49"/>
  <c r="Z18" i="49"/>
  <c r="N18" i="49"/>
  <c r="H27" i="49"/>
  <c r="Z27" i="52"/>
  <c r="T31" i="52"/>
  <c r="T91" i="42"/>
  <c r="V86" i="42"/>
  <c r="T101" i="39"/>
  <c r="T27" i="37"/>
  <c r="Z18" i="37"/>
  <c r="T27" i="22"/>
  <c r="X27" i="22" s="1"/>
  <c r="Z18" i="22"/>
  <c r="P74" i="33"/>
  <c r="X29" i="33"/>
  <c r="Z29" i="33" s="1"/>
  <c r="X12" i="36"/>
  <c r="T27" i="28"/>
  <c r="Z18" i="28"/>
  <c r="H36" i="19"/>
  <c r="N36" i="19" s="1"/>
  <c r="N31" i="19"/>
  <c r="F204" i="12"/>
  <c r="F187" i="12"/>
  <c r="F178" i="12"/>
  <c r="F158" i="12"/>
  <c r="F155" i="12"/>
  <c r="F143" i="12"/>
  <c r="F131" i="12"/>
  <c r="F119" i="12"/>
  <c r="F114" i="12"/>
  <c r="F103" i="12"/>
  <c r="F95" i="12"/>
  <c r="F87" i="12"/>
  <c r="F79" i="12"/>
  <c r="F202" i="12"/>
  <c r="F189" i="12"/>
  <c r="F185" i="12"/>
  <c r="F177" i="12"/>
  <c r="F172" i="12"/>
  <c r="F168" i="12"/>
  <c r="F157" i="12"/>
  <c r="F152" i="12"/>
  <c r="F129" i="12"/>
  <c r="F117" i="12"/>
  <c r="D111" i="12"/>
  <c r="F111" i="12" s="1"/>
  <c r="F109" i="12"/>
  <c r="F101" i="12"/>
  <c r="F93" i="12"/>
  <c r="F85" i="12"/>
  <c r="F77" i="12"/>
  <c r="F196" i="12"/>
  <c r="F192" i="12"/>
  <c r="F184" i="12"/>
  <c r="F180" i="12"/>
  <c r="F176" i="12"/>
  <c r="F163" i="12"/>
  <c r="F160" i="12"/>
  <c r="F148" i="12"/>
  <c r="F139" i="12"/>
  <c r="F136" i="12"/>
  <c r="F128" i="12"/>
  <c r="F124" i="12"/>
  <c r="F116" i="12"/>
  <c r="F108" i="12"/>
  <c r="F100" i="12"/>
  <c r="F92" i="12"/>
  <c r="F84" i="12"/>
  <c r="F76" i="12"/>
  <c r="L12" i="12"/>
  <c r="F200" i="12"/>
  <c r="F195" i="12"/>
  <c r="F183" i="12"/>
  <c r="F179" i="12"/>
  <c r="F175" i="12"/>
  <c r="F171" i="12"/>
  <c r="F167" i="12"/>
  <c r="F159" i="12"/>
  <c r="F154" i="12"/>
  <c r="F151" i="12"/>
  <c r="F142" i="12"/>
  <c r="F127" i="12"/>
  <c r="F123" i="12"/>
  <c r="F115" i="12"/>
  <c r="F107" i="12"/>
  <c r="F99" i="12"/>
  <c r="F91" i="12"/>
  <c r="F83" i="12"/>
  <c r="F203" i="12"/>
  <c r="F198" i="12"/>
  <c r="F194" i="12"/>
  <c r="F182" i="12"/>
  <c r="F174" i="12"/>
  <c r="F170" i="12"/>
  <c r="F166" i="12"/>
  <c r="F162" i="12"/>
  <c r="F150" i="12"/>
  <c r="F145" i="12"/>
  <c r="F138" i="12"/>
  <c r="F133" i="12"/>
  <c r="F126" i="12"/>
  <c r="F122" i="12"/>
  <c r="F113" i="12"/>
  <c r="F106" i="12"/>
  <c r="F98" i="12"/>
  <c r="F90" i="12"/>
  <c r="F82" i="12"/>
  <c r="F188" i="12"/>
  <c r="F173" i="12"/>
  <c r="F169" i="12"/>
  <c r="F165" i="12"/>
  <c r="F156" i="12"/>
  <c r="F153" i="12"/>
  <c r="F141" i="12"/>
  <c r="F121" i="12"/>
  <c r="F105" i="12"/>
  <c r="F97" i="12"/>
  <c r="F89" i="12"/>
  <c r="F81" i="12"/>
  <c r="F201" i="12"/>
  <c r="F191" i="12"/>
  <c r="F164" i="12"/>
  <c r="F147" i="12"/>
  <c r="F144" i="12"/>
  <c r="F140" i="12"/>
  <c r="F135" i="12"/>
  <c r="F132" i="12"/>
  <c r="F120" i="12"/>
  <c r="F104" i="12"/>
  <c r="F96" i="12"/>
  <c r="F88" i="12"/>
  <c r="F80" i="12"/>
  <c r="F75" i="12"/>
  <c r="F197" i="12"/>
  <c r="F181" i="12"/>
  <c r="F118" i="12"/>
  <c r="F102" i="12"/>
  <c r="F186" i="12"/>
  <c r="F161" i="12"/>
  <c r="F137" i="12"/>
  <c r="F134" i="12"/>
  <c r="F208" i="12"/>
  <c r="F125" i="12"/>
  <c r="F86" i="12"/>
  <c r="F78" i="12"/>
  <c r="F130" i="12"/>
  <c r="F193" i="12"/>
  <c r="F149" i="12"/>
  <c r="F190" i="12"/>
  <c r="F146" i="12"/>
  <c r="F94" i="12"/>
  <c r="X18" i="14"/>
  <c r="P27" i="14"/>
  <c r="D22" i="6"/>
  <c r="L16" i="6"/>
  <c r="J208" i="12"/>
  <c r="J202" i="12"/>
  <c r="J190" i="12"/>
  <c r="J186" i="12"/>
  <c r="J172" i="12"/>
  <c r="J168" i="12"/>
  <c r="J152" i="12"/>
  <c r="J146" i="12"/>
  <c r="J134" i="12"/>
  <c r="J130" i="12"/>
  <c r="J118" i="12"/>
  <c r="H111" i="12"/>
  <c r="J102" i="12"/>
  <c r="J94" i="12"/>
  <c r="J86" i="12"/>
  <c r="J78" i="12"/>
  <c r="J200" i="12"/>
  <c r="J196" i="12"/>
  <c r="J192" i="12"/>
  <c r="J184" i="12"/>
  <c r="J180" i="12"/>
  <c r="J176" i="12"/>
  <c r="J160" i="12"/>
  <c r="J154" i="12"/>
  <c r="J148" i="12"/>
  <c r="J142" i="12"/>
  <c r="J136" i="12"/>
  <c r="J128" i="12"/>
  <c r="J124" i="12"/>
  <c r="J116" i="12"/>
  <c r="J108" i="12"/>
  <c r="J100" i="12"/>
  <c r="J92" i="12"/>
  <c r="J84" i="12"/>
  <c r="J76" i="12"/>
  <c r="N12" i="12"/>
  <c r="J203" i="12"/>
  <c r="J195" i="12"/>
  <c r="J183" i="12"/>
  <c r="J179" i="12"/>
  <c r="J175" i="12"/>
  <c r="J171" i="12"/>
  <c r="J167" i="12"/>
  <c r="J159" i="12"/>
  <c r="J151" i="12"/>
  <c r="J145" i="12"/>
  <c r="J133" i="12"/>
  <c r="J127" i="12"/>
  <c r="J123" i="12"/>
  <c r="J115" i="12"/>
  <c r="J113" i="12"/>
  <c r="J107" i="12"/>
  <c r="J99" i="12"/>
  <c r="J91" i="12"/>
  <c r="J83" i="12"/>
  <c r="J198" i="12"/>
  <c r="J194" i="12"/>
  <c r="J188" i="12"/>
  <c r="J182" i="12"/>
  <c r="J174" i="12"/>
  <c r="J170" i="12"/>
  <c r="J166" i="12"/>
  <c r="J162" i="12"/>
  <c r="J156" i="12"/>
  <c r="J150" i="12"/>
  <c r="J138" i="12"/>
  <c r="J126" i="12"/>
  <c r="J122" i="12"/>
  <c r="J106" i="12"/>
  <c r="J98" i="12"/>
  <c r="J90" i="12"/>
  <c r="J82" i="12"/>
  <c r="J201" i="12"/>
  <c r="J191" i="12"/>
  <c r="J173" i="12"/>
  <c r="J169" i="12"/>
  <c r="J165" i="12"/>
  <c r="J153" i="12"/>
  <c r="J147" i="12"/>
  <c r="J141" i="12"/>
  <c r="J135" i="12"/>
  <c r="J121" i="12"/>
  <c r="J105" i="12"/>
  <c r="J97" i="12"/>
  <c r="J89" i="12"/>
  <c r="J81" i="12"/>
  <c r="J75" i="12"/>
  <c r="J204" i="12"/>
  <c r="J178" i="12"/>
  <c r="J164" i="12"/>
  <c r="J158" i="12"/>
  <c r="J144" i="12"/>
  <c r="J140" i="12"/>
  <c r="J132" i="12"/>
  <c r="J120" i="12"/>
  <c r="J114" i="12"/>
  <c r="J104" i="12"/>
  <c r="J96" i="12"/>
  <c r="J88" i="12"/>
  <c r="J80" i="12"/>
  <c r="J197" i="12"/>
  <c r="J193" i="12"/>
  <c r="J187" i="12"/>
  <c r="J181" i="12"/>
  <c r="J161" i="12"/>
  <c r="J155" i="12"/>
  <c r="J149" i="12"/>
  <c r="J143" i="12"/>
  <c r="J137" i="12"/>
  <c r="J131" i="12"/>
  <c r="J125" i="12"/>
  <c r="J119" i="12"/>
  <c r="J111" i="12"/>
  <c r="J103" i="12"/>
  <c r="J95" i="12"/>
  <c r="J87" i="12"/>
  <c r="J79" i="12"/>
  <c r="J129" i="12"/>
  <c r="J85" i="12"/>
  <c r="J93" i="12"/>
  <c r="J189" i="12"/>
  <c r="J157" i="12"/>
  <c r="J117" i="12"/>
  <c r="J185" i="12"/>
  <c r="J177" i="12"/>
  <c r="J163" i="12"/>
  <c r="J139" i="12"/>
  <c r="J101" i="12"/>
  <c r="J109" i="12"/>
  <c r="J77" i="12"/>
  <c r="T84" i="9"/>
  <c r="Z16" i="9"/>
  <c r="X12" i="3"/>
  <c r="Z12" i="3" s="1"/>
  <c r="F30" i="93"/>
  <c r="F17" i="93"/>
  <c r="F72" i="93"/>
  <c r="F69" i="93"/>
  <c r="F56" i="93"/>
  <c r="F53" i="93"/>
  <c r="F48" i="93"/>
  <c r="F45" i="93"/>
  <c r="F40" i="93"/>
  <c r="F29" i="93"/>
  <c r="F24" i="93"/>
  <c r="F68" i="93"/>
  <c r="F63" i="93"/>
  <c r="F59" i="93"/>
  <c r="F75" i="93"/>
  <c r="F79" i="93"/>
  <c r="F73" i="93"/>
  <c r="F65" i="93"/>
  <c r="F61" i="93"/>
  <c r="F57" i="93"/>
  <c r="F52" i="93"/>
  <c r="F49" i="93"/>
  <c r="F44" i="93"/>
  <c r="F41" i="93"/>
  <c r="F37" i="93"/>
  <c r="F33" i="93"/>
  <c r="F25" i="93"/>
  <c r="F64" i="93"/>
  <c r="F60" i="93"/>
  <c r="F36" i="93"/>
  <c r="F32" i="93"/>
  <c r="F23" i="93"/>
  <c r="F39" i="93"/>
  <c r="F47" i="93"/>
  <c r="F46" i="93"/>
  <c r="F35" i="93"/>
  <c r="F34" i="93"/>
  <c r="D21" i="93"/>
  <c r="F62" i="93"/>
  <c r="F43" i="93"/>
  <c r="F42" i="93"/>
  <c r="F71" i="93"/>
  <c r="F70" i="93"/>
  <c r="F66" i="93"/>
  <c r="F51" i="93"/>
  <c r="F31" i="93"/>
  <c r="F38" i="93"/>
  <c r="F28" i="93"/>
  <c r="F27" i="93"/>
  <c r="F55" i="93"/>
  <c r="F18" i="93"/>
  <c r="F67" i="93"/>
  <c r="F19" i="93"/>
  <c r="F21" i="93"/>
  <c r="L12" i="93"/>
  <c r="N12" i="93" s="1"/>
  <c r="F50" i="93"/>
  <c r="F54" i="93"/>
  <c r="F58" i="93"/>
  <c r="F26" i="93"/>
  <c r="X12" i="75"/>
  <c r="Z12" i="75" s="1"/>
  <c r="R124" i="30"/>
  <c r="R115" i="30"/>
  <c r="R137" i="30"/>
  <c r="R134" i="30"/>
  <c r="R131" i="30"/>
  <c r="R118" i="30"/>
  <c r="R121" i="30"/>
  <c r="R117" i="30"/>
  <c r="R133" i="30"/>
  <c r="R128" i="30"/>
  <c r="R120" i="30"/>
  <c r="R113" i="30"/>
  <c r="R138" i="30"/>
  <c r="R127" i="30"/>
  <c r="R123" i="30"/>
  <c r="R116" i="30"/>
  <c r="R130" i="30"/>
  <c r="R126" i="30"/>
  <c r="R119" i="30"/>
  <c r="R136" i="30"/>
  <c r="R125" i="30"/>
  <c r="R122" i="30"/>
  <c r="R142" i="30"/>
  <c r="R132" i="30"/>
  <c r="R129" i="30"/>
  <c r="R112" i="30"/>
  <c r="R104" i="30"/>
  <c r="R101" i="30"/>
  <c r="R88" i="30"/>
  <c r="R84" i="30"/>
  <c r="R77" i="30"/>
  <c r="R68" i="30"/>
  <c r="R60" i="30"/>
  <c r="R53" i="30"/>
  <c r="X12" i="30"/>
  <c r="Z12" i="30" s="1"/>
  <c r="R107" i="30"/>
  <c r="R95" i="30"/>
  <c r="R92" i="30"/>
  <c r="R87" i="30"/>
  <c r="R83" i="30"/>
  <c r="R67" i="30"/>
  <c r="R59" i="30"/>
  <c r="R110" i="30"/>
  <c r="R103" i="30"/>
  <c r="R82" i="30"/>
  <c r="P74" i="30"/>
  <c r="R74" i="30" s="1"/>
  <c r="R66" i="30"/>
  <c r="R58" i="30"/>
  <c r="R109" i="30"/>
  <c r="R106" i="30"/>
  <c r="R97" i="30"/>
  <c r="R94" i="30"/>
  <c r="R86" i="30"/>
  <c r="R81" i="30"/>
  <c r="R65" i="30"/>
  <c r="R57" i="30"/>
  <c r="R114" i="30"/>
  <c r="R100" i="30"/>
  <c r="R80" i="30"/>
  <c r="R72" i="30"/>
  <c r="R64" i="30"/>
  <c r="R56" i="30"/>
  <c r="R108" i="30"/>
  <c r="R99" i="30"/>
  <c r="R96" i="30"/>
  <c r="R91" i="30"/>
  <c r="R79" i="30"/>
  <c r="R76" i="30"/>
  <c r="R71" i="30"/>
  <c r="R63" i="30"/>
  <c r="R55" i="30"/>
  <c r="R102" i="30"/>
  <c r="R90" i="30"/>
  <c r="R78" i="30"/>
  <c r="R70" i="30"/>
  <c r="R62" i="30"/>
  <c r="R54" i="30"/>
  <c r="R111" i="30"/>
  <c r="R105" i="30"/>
  <c r="R98" i="30"/>
  <c r="R93" i="30"/>
  <c r="R89" i="30"/>
  <c r="R85" i="30"/>
  <c r="R69" i="30"/>
  <c r="R61" i="30"/>
  <c r="X18" i="97"/>
  <c r="P27" i="97"/>
  <c r="H27" i="97"/>
  <c r="N18" i="97"/>
  <c r="V52" i="96"/>
  <c r="D55" i="96"/>
  <c r="L17" i="96"/>
  <c r="N17" i="96" s="1"/>
  <c r="L52" i="96"/>
  <c r="N20" i="94"/>
  <c r="H67" i="94"/>
  <c r="R66" i="93"/>
  <c r="R62" i="93"/>
  <c r="R58" i="93"/>
  <c r="R38" i="93"/>
  <c r="R26" i="93"/>
  <c r="R23" i="93"/>
  <c r="R18" i="93"/>
  <c r="R79" i="93"/>
  <c r="R73" i="93"/>
  <c r="R70" i="93"/>
  <c r="R65" i="93"/>
  <c r="R61" i="93"/>
  <c r="R57" i="93"/>
  <c r="R54" i="93"/>
  <c r="R49" i="93"/>
  <c r="R46" i="93"/>
  <c r="R41" i="93"/>
  <c r="R37" i="93"/>
  <c r="R33" i="93"/>
  <c r="R25" i="93"/>
  <c r="R64" i="93"/>
  <c r="R60" i="93"/>
  <c r="R69" i="93"/>
  <c r="R53" i="93"/>
  <c r="R50" i="93"/>
  <c r="R45" i="93"/>
  <c r="R42" i="93"/>
  <c r="R34" i="93"/>
  <c r="R29" i="93"/>
  <c r="R75" i="93"/>
  <c r="R68" i="93"/>
  <c r="R28" i="93"/>
  <c r="R72" i="93"/>
  <c r="R71" i="93"/>
  <c r="R59" i="93"/>
  <c r="R67" i="93"/>
  <c r="R30" i="93"/>
  <c r="R52" i="93"/>
  <c r="R51" i="93"/>
  <c r="R31" i="93"/>
  <c r="R27" i="93"/>
  <c r="X12" i="93"/>
  <c r="Z12" i="93" s="1"/>
  <c r="R32" i="93"/>
  <c r="R17" i="93"/>
  <c r="R48" i="93"/>
  <c r="R47" i="93"/>
  <c r="R44" i="93"/>
  <c r="R24" i="93"/>
  <c r="R21" i="93"/>
  <c r="R35" i="93"/>
  <c r="P21" i="93"/>
  <c r="R63" i="93"/>
  <c r="R36" i="93"/>
  <c r="R55" i="93"/>
  <c r="R56" i="93"/>
  <c r="R39" i="93"/>
  <c r="R19" i="93"/>
  <c r="R43" i="93"/>
  <c r="R40" i="93"/>
  <c r="T31" i="87"/>
  <c r="Z16" i="87"/>
  <c r="X16" i="90"/>
  <c r="P44" i="90"/>
  <c r="D37" i="89"/>
  <c r="L17" i="89"/>
  <c r="L24" i="92"/>
  <c r="N24" i="92" s="1"/>
  <c r="X16" i="87"/>
  <c r="R35" i="84"/>
  <c r="R29" i="84"/>
  <c r="R38" i="84"/>
  <c r="R31" i="84"/>
  <c r="R33" i="84"/>
  <c r="R27" i="84"/>
  <c r="R19" i="84"/>
  <c r="R15" i="84"/>
  <c r="R25" i="84"/>
  <c r="R21" i="84"/>
  <c r="R24" i="84"/>
  <c r="X12" i="84"/>
  <c r="Z12" i="84" s="1"/>
  <c r="R20" i="84"/>
  <c r="R23" i="84"/>
  <c r="R17" i="84"/>
  <c r="R22" i="84"/>
  <c r="P17" i="84"/>
  <c r="R26" i="84"/>
  <c r="T79" i="85"/>
  <c r="V20" i="85"/>
  <c r="H38" i="83"/>
  <c r="N16" i="83"/>
  <c r="P79" i="85"/>
  <c r="X20" i="85"/>
  <c r="Z20" i="85" s="1"/>
  <c r="D31" i="84"/>
  <c r="R66" i="79"/>
  <c r="R60" i="79"/>
  <c r="R57" i="79"/>
  <c r="R53" i="79"/>
  <c r="R44" i="79"/>
  <c r="R41" i="79"/>
  <c r="R36" i="79"/>
  <c r="R24" i="79"/>
  <c r="R47" i="79"/>
  <c r="R35" i="79"/>
  <c r="R31" i="79"/>
  <c r="R16" i="79"/>
  <c r="R59" i="79"/>
  <c r="R43" i="79"/>
  <c r="R38" i="79"/>
  <c r="R34" i="79"/>
  <c r="R30" i="79"/>
  <c r="R23" i="79"/>
  <c r="R49" i="79"/>
  <c r="R46" i="79"/>
  <c r="R33" i="79"/>
  <c r="R29" i="79"/>
  <c r="R20" i="79"/>
  <c r="R56" i="79"/>
  <c r="R52" i="79"/>
  <c r="R40" i="79"/>
  <c r="R37" i="79"/>
  <c r="R28" i="79"/>
  <c r="P20" i="79"/>
  <c r="X12" i="79"/>
  <c r="R62" i="79"/>
  <c r="R55" i="79"/>
  <c r="R51" i="79"/>
  <c r="R48" i="79"/>
  <c r="R32" i="79"/>
  <c r="R27" i="79"/>
  <c r="R58" i="79"/>
  <c r="R54" i="79"/>
  <c r="R42" i="79"/>
  <c r="R39" i="79"/>
  <c r="R26" i="79"/>
  <c r="R18" i="79"/>
  <c r="R50" i="79"/>
  <c r="R17" i="79"/>
  <c r="R25" i="79"/>
  <c r="R22" i="79"/>
  <c r="R45" i="79"/>
  <c r="D32" i="78"/>
  <c r="T73" i="81"/>
  <c r="F61" i="76"/>
  <c r="F63" i="76"/>
  <c r="F60" i="76"/>
  <c r="F56" i="76"/>
  <c r="F62" i="76"/>
  <c r="F70" i="76"/>
  <c r="F64" i="76"/>
  <c r="F48" i="76"/>
  <c r="F45" i="76"/>
  <c r="F33" i="76"/>
  <c r="F29" i="76"/>
  <c r="F16" i="76"/>
  <c r="F66" i="76"/>
  <c r="F39" i="76"/>
  <c r="F36" i="76"/>
  <c r="F32" i="76"/>
  <c r="F28" i="76"/>
  <c r="F23" i="76"/>
  <c r="L12" i="76"/>
  <c r="F50" i="76"/>
  <c r="F47" i="76"/>
  <c r="F27" i="76"/>
  <c r="F59" i="76"/>
  <c r="F41" i="76"/>
  <c r="F38" i="76"/>
  <c r="F26" i="76"/>
  <c r="D20" i="76"/>
  <c r="F20" i="76" s="1"/>
  <c r="F18" i="76"/>
  <c r="F58" i="76"/>
  <c r="F55" i="76"/>
  <c r="F49" i="76"/>
  <c r="F44" i="76"/>
  <c r="F25" i="76"/>
  <c r="F17" i="76"/>
  <c r="F57" i="76"/>
  <c r="F54" i="76"/>
  <c r="F40" i="76"/>
  <c r="F35" i="76"/>
  <c r="F31" i="76"/>
  <c r="F24" i="76"/>
  <c r="F37" i="76"/>
  <c r="F51" i="76"/>
  <c r="F46" i="76"/>
  <c r="F30" i="76"/>
  <c r="F53" i="76"/>
  <c r="F52" i="76"/>
  <c r="F34" i="76"/>
  <c r="F42" i="76"/>
  <c r="F22" i="76"/>
  <c r="F43" i="76"/>
  <c r="R62" i="76"/>
  <c r="R70" i="76"/>
  <c r="R64" i="76"/>
  <c r="R61" i="76"/>
  <c r="R57" i="76"/>
  <c r="R53" i="76"/>
  <c r="R63" i="76"/>
  <c r="R60" i="76"/>
  <c r="R56" i="76"/>
  <c r="R52" i="76"/>
  <c r="R59" i="76"/>
  <c r="R58" i="76"/>
  <c r="R49" i="76"/>
  <c r="R46" i="76"/>
  <c r="R25" i="76"/>
  <c r="R22" i="76"/>
  <c r="R17" i="76"/>
  <c r="R55" i="76"/>
  <c r="R54" i="76"/>
  <c r="R40" i="76"/>
  <c r="R37" i="76"/>
  <c r="R24" i="76"/>
  <c r="R48" i="76"/>
  <c r="R43" i="76"/>
  <c r="R16" i="76"/>
  <c r="R51" i="76"/>
  <c r="R42" i="76"/>
  <c r="R39" i="76"/>
  <c r="R34" i="76"/>
  <c r="R30" i="76"/>
  <c r="R23" i="76"/>
  <c r="R50" i="76"/>
  <c r="R45" i="76"/>
  <c r="R33" i="76"/>
  <c r="R29" i="76"/>
  <c r="R20" i="76"/>
  <c r="R66" i="76"/>
  <c r="R41" i="76"/>
  <c r="R36" i="76"/>
  <c r="R32" i="76"/>
  <c r="R28" i="76"/>
  <c r="P20" i="76"/>
  <c r="X12" i="76"/>
  <c r="R35" i="76"/>
  <c r="R31" i="76"/>
  <c r="R26" i="76"/>
  <c r="R27" i="76"/>
  <c r="R47" i="76"/>
  <c r="R18" i="76"/>
  <c r="R44" i="76"/>
  <c r="R38" i="76"/>
  <c r="F61" i="70"/>
  <c r="F53" i="70"/>
  <c r="F41" i="70"/>
  <c r="F37" i="70"/>
  <c r="F64" i="70"/>
  <c r="F60" i="70"/>
  <c r="F56" i="70"/>
  <c r="F47" i="70"/>
  <c r="F44" i="70"/>
  <c r="F40" i="70"/>
  <c r="F36" i="70"/>
  <c r="L12" i="70"/>
  <c r="F68" i="70"/>
  <c r="F59" i="70"/>
  <c r="F35" i="70"/>
  <c r="F30" i="70"/>
  <c r="F66" i="70"/>
  <c r="F58" i="70"/>
  <c r="F49" i="70"/>
  <c r="F46" i="70"/>
  <c r="F34" i="70"/>
  <c r="F27" i="70"/>
  <c r="F52" i="70"/>
  <c r="F69" i="70"/>
  <c r="F63" i="70"/>
  <c r="F57" i="70"/>
  <c r="F31" i="70"/>
  <c r="D27" i="70"/>
  <c r="F48" i="70"/>
  <c r="F39" i="70"/>
  <c r="F38" i="70"/>
  <c r="F25" i="70"/>
  <c r="F65" i="70"/>
  <c r="F32" i="70"/>
  <c r="F29" i="70"/>
  <c r="F45" i="70"/>
  <c r="F43" i="70"/>
  <c r="F42" i="70"/>
  <c r="F33" i="70"/>
  <c r="F51" i="70"/>
  <c r="F55" i="70"/>
  <c r="F54" i="70"/>
  <c r="F62" i="70"/>
  <c r="F50" i="70"/>
  <c r="F73" i="70"/>
  <c r="V68" i="70"/>
  <c r="T46" i="67"/>
  <c r="N16" i="61"/>
  <c r="H44" i="61"/>
  <c r="Z84" i="51"/>
  <c r="T22" i="54"/>
  <c r="Z16" i="54"/>
  <c r="Z16" i="58"/>
  <c r="T60" i="58"/>
  <c r="X60" i="58" s="1"/>
  <c r="X18" i="44"/>
  <c r="P27" i="44"/>
  <c r="X16" i="58"/>
  <c r="P31" i="54"/>
  <c r="P31" i="50"/>
  <c r="X27" i="50"/>
  <c r="D37" i="55"/>
  <c r="T27" i="44"/>
  <c r="Z18" i="44"/>
  <c r="F84" i="51"/>
  <c r="F79" i="51"/>
  <c r="F70" i="51"/>
  <c r="F67" i="51"/>
  <c r="F55" i="51"/>
  <c r="F39" i="51"/>
  <c r="F87" i="51"/>
  <c r="F82" i="51"/>
  <c r="F78" i="51"/>
  <c r="F73" i="51"/>
  <c r="F54" i="51"/>
  <c r="F49" i="51"/>
  <c r="F38" i="51"/>
  <c r="F33" i="51"/>
  <c r="F91" i="51"/>
  <c r="F69" i="51"/>
  <c r="F64" i="51"/>
  <c r="F53" i="51"/>
  <c r="F37" i="51"/>
  <c r="F85" i="51"/>
  <c r="F75" i="51"/>
  <c r="F72" i="51"/>
  <c r="F59" i="51"/>
  <c r="F52" i="51"/>
  <c r="D46" i="51"/>
  <c r="F44" i="51"/>
  <c r="F36" i="51"/>
  <c r="L12" i="51"/>
  <c r="F71" i="51"/>
  <c r="F66" i="51"/>
  <c r="F63" i="51"/>
  <c r="F51" i="51"/>
  <c r="F43" i="51"/>
  <c r="F35" i="51"/>
  <c r="F81" i="51"/>
  <c r="F77" i="51"/>
  <c r="F74" i="51"/>
  <c r="F62" i="51"/>
  <c r="F58" i="51"/>
  <c r="F50" i="51"/>
  <c r="F76" i="51"/>
  <c r="F48" i="51"/>
  <c r="F61" i="51"/>
  <c r="F34" i="51"/>
  <c r="F68" i="51"/>
  <c r="F65" i="51"/>
  <c r="F41" i="51"/>
  <c r="F80" i="51"/>
  <c r="F42" i="51"/>
  <c r="F56" i="51"/>
  <c r="F86" i="51"/>
  <c r="F60" i="51"/>
  <c r="F57" i="51"/>
  <c r="F40" i="51"/>
  <c r="L27" i="47"/>
  <c r="D31" i="47"/>
  <c r="T27" i="34"/>
  <c r="Z18" i="34"/>
  <c r="X18" i="32"/>
  <c r="P27" i="32"/>
  <c r="J86" i="42"/>
  <c r="H91" i="42"/>
  <c r="N21" i="42"/>
  <c r="D31" i="44"/>
  <c r="H27" i="37"/>
  <c r="N18" i="37"/>
  <c r="L12" i="45"/>
  <c r="N12" i="45" s="1"/>
  <c r="J98" i="39"/>
  <c r="J90" i="39"/>
  <c r="J86" i="39"/>
  <c r="J78" i="39"/>
  <c r="J64" i="39"/>
  <c r="J56" i="39"/>
  <c r="J50" i="39"/>
  <c r="J42" i="39"/>
  <c r="J38" i="39"/>
  <c r="J32" i="39"/>
  <c r="J85" i="39"/>
  <c r="J77" i="39"/>
  <c r="J73" i="39"/>
  <c r="J69" i="39"/>
  <c r="J61" i="39"/>
  <c r="J47" i="39"/>
  <c r="J37" i="39"/>
  <c r="J29" i="39"/>
  <c r="J96" i="39"/>
  <c r="J92" i="39"/>
  <c r="J84" i="39"/>
  <c r="J80" i="39"/>
  <c r="J76" i="39"/>
  <c r="J72" i="39"/>
  <c r="J66" i="39"/>
  <c r="J58" i="39"/>
  <c r="J52" i="39"/>
  <c r="J36" i="39"/>
  <c r="H29" i="39"/>
  <c r="L29" i="39" s="1"/>
  <c r="J99" i="39"/>
  <c r="J89" i="39"/>
  <c r="J83" i="39"/>
  <c r="J75" i="39"/>
  <c r="J71" i="39"/>
  <c r="J63" i="39"/>
  <c r="J55" i="39"/>
  <c r="J49" i="39"/>
  <c r="J41" i="39"/>
  <c r="J35" i="39"/>
  <c r="J27" i="39"/>
  <c r="J94" i="39"/>
  <c r="J82" i="39"/>
  <c r="J68" i="39"/>
  <c r="J60" i="39"/>
  <c r="J54" i="39"/>
  <c r="J46" i="39"/>
  <c r="J34" i="39"/>
  <c r="J26" i="39"/>
  <c r="J103" i="39"/>
  <c r="J97" i="39"/>
  <c r="J91" i="39"/>
  <c r="J79" i="39"/>
  <c r="J65" i="39"/>
  <c r="J57" i="39"/>
  <c r="J51" i="39"/>
  <c r="J45" i="39"/>
  <c r="J33" i="39"/>
  <c r="J31" i="39"/>
  <c r="J88" i="39"/>
  <c r="J74" i="39"/>
  <c r="J70" i="39"/>
  <c r="J62" i="39"/>
  <c r="J48" i="39"/>
  <c r="J44" i="39"/>
  <c r="J40" i="39"/>
  <c r="J93" i="39"/>
  <c r="J87" i="39"/>
  <c r="J81" i="39"/>
  <c r="J67" i="39"/>
  <c r="J59" i="39"/>
  <c r="J53" i="39"/>
  <c r="J43" i="39"/>
  <c r="J39" i="39"/>
  <c r="J25" i="39"/>
  <c r="L18" i="37"/>
  <c r="D27" i="37"/>
  <c r="N18" i="41"/>
  <c r="H27" i="41"/>
  <c r="Z98" i="36"/>
  <c r="P31" i="34"/>
  <c r="X29" i="39"/>
  <c r="Z29" i="39" s="1"/>
  <c r="P101" i="39"/>
  <c r="J74" i="24"/>
  <c r="J70" i="24"/>
  <c r="J54" i="24"/>
  <c r="J48" i="24"/>
  <c r="J44" i="24"/>
  <c r="J36" i="24"/>
  <c r="J28" i="24"/>
  <c r="N12" i="24"/>
  <c r="J63" i="24"/>
  <c r="J57" i="24"/>
  <c r="J51" i="24"/>
  <c r="J43" i="24"/>
  <c r="J41" i="24"/>
  <c r="J35" i="24"/>
  <c r="J66" i="24"/>
  <c r="J60" i="24"/>
  <c r="J34" i="24"/>
  <c r="J77" i="24"/>
  <c r="J73" i="24"/>
  <c r="J69" i="24"/>
  <c r="J65" i="24"/>
  <c r="J53" i="24"/>
  <c r="J47" i="24"/>
  <c r="J33" i="24"/>
  <c r="J27" i="24"/>
  <c r="J72" i="24"/>
  <c r="J68" i="24"/>
  <c r="J62" i="24"/>
  <c r="J56" i="24"/>
  <c r="J50" i="24"/>
  <c r="J42" i="24"/>
  <c r="J32" i="24"/>
  <c r="J81" i="24"/>
  <c r="J75" i="24"/>
  <c r="J71" i="24"/>
  <c r="J59" i="24"/>
  <c r="J55" i="24"/>
  <c r="J31" i="24"/>
  <c r="J64" i="24"/>
  <c r="J58" i="24"/>
  <c r="J52" i="24"/>
  <c r="J46" i="24"/>
  <c r="H39" i="24"/>
  <c r="J39" i="24" s="1"/>
  <c r="J30" i="24"/>
  <c r="J67" i="24"/>
  <c r="J61" i="24"/>
  <c r="J49" i="24"/>
  <c r="J45" i="24"/>
  <c r="J37" i="24"/>
  <c r="J29" i="24"/>
  <c r="L18" i="22"/>
  <c r="D27" i="22"/>
  <c r="J138" i="30"/>
  <c r="J130" i="30"/>
  <c r="J126" i="30"/>
  <c r="J116" i="30"/>
  <c r="J125" i="30"/>
  <c r="J119" i="30"/>
  <c r="J142" i="30"/>
  <c r="J136" i="30"/>
  <c r="J132" i="30"/>
  <c r="J122" i="30"/>
  <c r="J112" i="30"/>
  <c r="J129" i="30"/>
  <c r="J115" i="30"/>
  <c r="J134" i="30"/>
  <c r="J124" i="30"/>
  <c r="J118" i="30"/>
  <c r="J114" i="30"/>
  <c r="J137" i="30"/>
  <c r="J131" i="30"/>
  <c r="J121" i="30"/>
  <c r="J117" i="30"/>
  <c r="J128" i="30"/>
  <c r="J120" i="30"/>
  <c r="J133" i="30"/>
  <c r="J127" i="30"/>
  <c r="J123" i="30"/>
  <c r="J113" i="30"/>
  <c r="J99" i="30"/>
  <c r="J91" i="30"/>
  <c r="J79" i="30"/>
  <c r="J71" i="30"/>
  <c r="J63" i="30"/>
  <c r="J55" i="30"/>
  <c r="J108" i="30"/>
  <c r="J102" i="30"/>
  <c r="J96" i="30"/>
  <c r="J90" i="30"/>
  <c r="J78" i="30"/>
  <c r="J76" i="30"/>
  <c r="J70" i="30"/>
  <c r="J62" i="30"/>
  <c r="J54" i="30"/>
  <c r="J105" i="30"/>
  <c r="J93" i="30"/>
  <c r="J89" i="30"/>
  <c r="J85" i="30"/>
  <c r="J69" i="30"/>
  <c r="J61" i="30"/>
  <c r="J111" i="30"/>
  <c r="J104" i="30"/>
  <c r="J98" i="30"/>
  <c r="J88" i="30"/>
  <c r="J84" i="30"/>
  <c r="J68" i="30"/>
  <c r="J60" i="30"/>
  <c r="N12" i="30"/>
  <c r="J107" i="30"/>
  <c r="J101" i="30"/>
  <c r="J95" i="30"/>
  <c r="J87" i="30"/>
  <c r="J83" i="30"/>
  <c r="J77" i="30"/>
  <c r="J67" i="30"/>
  <c r="J59" i="30"/>
  <c r="J53" i="30"/>
  <c r="J110" i="30"/>
  <c r="J92" i="30"/>
  <c r="J82" i="30"/>
  <c r="J74" i="30"/>
  <c r="J66" i="30"/>
  <c r="J58" i="30"/>
  <c r="J109" i="30"/>
  <c r="J103" i="30"/>
  <c r="J97" i="30"/>
  <c r="J81" i="30"/>
  <c r="H74" i="30"/>
  <c r="J65" i="30"/>
  <c r="J57" i="30"/>
  <c r="J106" i="30"/>
  <c r="J100" i="30"/>
  <c r="J94" i="30"/>
  <c r="J86" i="30"/>
  <c r="J80" i="30"/>
  <c r="J72" i="30"/>
  <c r="J64" i="30"/>
  <c r="J56" i="30"/>
  <c r="L18" i="28"/>
  <c r="D27" i="28"/>
  <c r="L12" i="39"/>
  <c r="N12" i="39" s="1"/>
  <c r="D84" i="9"/>
  <c r="L16" i="9"/>
  <c r="T27" i="11"/>
  <c r="Z18" i="11"/>
  <c r="F71" i="21"/>
  <c r="F59" i="21"/>
  <c r="F56" i="21"/>
  <c r="F51" i="21"/>
  <c r="F32" i="21"/>
  <c r="D26" i="21"/>
  <c r="F26" i="21" s="1"/>
  <c r="F24" i="21"/>
  <c r="F66" i="21"/>
  <c r="F62" i="21"/>
  <c r="F47" i="21"/>
  <c r="F42" i="21"/>
  <c r="F38" i="21"/>
  <c r="F31" i="21"/>
  <c r="F23" i="21"/>
  <c r="F73" i="21"/>
  <c r="F70" i="21"/>
  <c r="F58" i="21"/>
  <c r="F53" i="21"/>
  <c r="F50" i="21"/>
  <c r="F30" i="21"/>
  <c r="F69" i="21"/>
  <c r="F65" i="21"/>
  <c r="F61" i="21"/>
  <c r="F49" i="21"/>
  <c r="F44" i="21"/>
  <c r="F41" i="21"/>
  <c r="F37" i="21"/>
  <c r="F28" i="21"/>
  <c r="F72" i="21"/>
  <c r="F68" i="21"/>
  <c r="F64" i="21"/>
  <c r="F60" i="21"/>
  <c r="F55" i="21"/>
  <c r="F52" i="21"/>
  <c r="F40" i="21"/>
  <c r="F36" i="21"/>
  <c r="F76" i="21"/>
  <c r="F67" i="21"/>
  <c r="F63" i="21"/>
  <c r="F46" i="21"/>
  <c r="F43" i="21"/>
  <c r="F39" i="21"/>
  <c r="F35" i="21"/>
  <c r="F22" i="21"/>
  <c r="F80" i="21"/>
  <c r="F74" i="21"/>
  <c r="F57" i="21"/>
  <c r="F54" i="21"/>
  <c r="F34" i="21"/>
  <c r="F29" i="21"/>
  <c r="F48" i="21"/>
  <c r="F45" i="21"/>
  <c r="F33" i="21"/>
  <c r="L12" i="21"/>
  <c r="N12" i="21" s="1"/>
  <c r="P31" i="16"/>
  <c r="T27" i="13"/>
  <c r="Z18" i="13"/>
  <c r="X200" i="12"/>
  <c r="V204" i="12"/>
  <c r="V198" i="12"/>
  <c r="V194" i="12"/>
  <c r="V182" i="12"/>
  <c r="V178" i="12"/>
  <c r="V174" i="12"/>
  <c r="V170" i="12"/>
  <c r="V166" i="12"/>
  <c r="V162" i="12"/>
  <c r="V158" i="12"/>
  <c r="V150" i="12"/>
  <c r="V138" i="12"/>
  <c r="V126" i="12"/>
  <c r="V122" i="12"/>
  <c r="V114" i="12"/>
  <c r="V106" i="12"/>
  <c r="V98" i="12"/>
  <c r="V90" i="12"/>
  <c r="V82" i="12"/>
  <c r="V202" i="12"/>
  <c r="V172" i="12"/>
  <c r="V168" i="12"/>
  <c r="V164" i="12"/>
  <c r="V152" i="12"/>
  <c r="V144" i="12"/>
  <c r="V140" i="12"/>
  <c r="V132" i="12"/>
  <c r="V120" i="12"/>
  <c r="T111" i="12"/>
  <c r="V104" i="12"/>
  <c r="V96" i="12"/>
  <c r="V88" i="12"/>
  <c r="V80" i="12"/>
  <c r="V187" i="12"/>
  <c r="V163" i="12"/>
  <c r="V155" i="12"/>
  <c r="V143" i="12"/>
  <c r="V139" i="12"/>
  <c r="V131" i="12"/>
  <c r="V119" i="12"/>
  <c r="V103" i="12"/>
  <c r="V95" i="12"/>
  <c r="V87" i="12"/>
  <c r="V79" i="12"/>
  <c r="V208" i="12"/>
  <c r="V200" i="12"/>
  <c r="V190" i="12"/>
  <c r="V186" i="12"/>
  <c r="V154" i="12"/>
  <c r="V146" i="12"/>
  <c r="V142" i="12"/>
  <c r="V134" i="12"/>
  <c r="V130" i="12"/>
  <c r="V118" i="12"/>
  <c r="V102" i="12"/>
  <c r="V94" i="12"/>
  <c r="V86" i="12"/>
  <c r="V78" i="12"/>
  <c r="V203" i="12"/>
  <c r="V189" i="12"/>
  <c r="V185" i="12"/>
  <c r="V177" i="12"/>
  <c r="V157" i="12"/>
  <c r="V145" i="12"/>
  <c r="V133" i="12"/>
  <c r="V129" i="12"/>
  <c r="V117" i="12"/>
  <c r="V113" i="12"/>
  <c r="V109" i="12"/>
  <c r="V101" i="12"/>
  <c r="V93" i="12"/>
  <c r="V85" i="12"/>
  <c r="V77" i="12"/>
  <c r="V196" i="12"/>
  <c r="V192" i="12"/>
  <c r="V188" i="12"/>
  <c r="V184" i="12"/>
  <c r="V180" i="12"/>
  <c r="V176" i="12"/>
  <c r="V160" i="12"/>
  <c r="V156" i="12"/>
  <c r="V148" i="12"/>
  <c r="V136" i="12"/>
  <c r="V128" i="12"/>
  <c r="V124" i="12"/>
  <c r="V116" i="12"/>
  <c r="V108" i="12"/>
  <c r="V100" i="12"/>
  <c r="V92" i="12"/>
  <c r="V84" i="12"/>
  <c r="V76" i="12"/>
  <c r="Z12" i="12"/>
  <c r="V201" i="12"/>
  <c r="V195" i="12"/>
  <c r="V191" i="12"/>
  <c r="V183" i="12"/>
  <c r="V179" i="12"/>
  <c r="V175" i="12"/>
  <c r="V171" i="12"/>
  <c r="V167" i="12"/>
  <c r="V159" i="12"/>
  <c r="V151" i="12"/>
  <c r="V147" i="12"/>
  <c r="V135" i="12"/>
  <c r="V127" i="12"/>
  <c r="V123" i="12"/>
  <c r="V115" i="12"/>
  <c r="V107" i="12"/>
  <c r="V99" i="12"/>
  <c r="V91" i="12"/>
  <c r="V83" i="12"/>
  <c r="V75" i="12"/>
  <c r="V97" i="12"/>
  <c r="V153" i="12"/>
  <c r="V111" i="12"/>
  <c r="V105" i="12"/>
  <c r="V193" i="12"/>
  <c r="V169" i="12"/>
  <c r="V149" i="12"/>
  <c r="V121" i="12"/>
  <c r="V197" i="12"/>
  <c r="V165" i="12"/>
  <c r="V141" i="12"/>
  <c r="V89" i="12"/>
  <c r="V81" i="12"/>
  <c r="V181" i="12"/>
  <c r="V173" i="12"/>
  <c r="V161" i="12"/>
  <c r="V137" i="12"/>
  <c r="V125" i="12"/>
  <c r="H88" i="9"/>
  <c r="V215" i="18"/>
  <c r="L18" i="7"/>
  <c r="D27" i="7"/>
  <c r="P243" i="3"/>
  <c r="T31" i="47" l="1"/>
  <c r="T36" i="47" s="1"/>
  <c r="Z36" i="47" s="1"/>
  <c r="P36" i="50"/>
  <c r="Z31" i="52"/>
  <c r="T36" i="52"/>
  <c r="Z36" i="52" s="1"/>
  <c r="T39" i="82"/>
  <c r="X27" i="28"/>
  <c r="P31" i="28"/>
  <c r="P38" i="87"/>
  <c r="P104" i="66"/>
  <c r="X50" i="66"/>
  <c r="N72" i="91"/>
  <c r="H76" i="91"/>
  <c r="J72" i="91"/>
  <c r="N27" i="99"/>
  <c r="H31" i="99"/>
  <c r="L31" i="99" s="1"/>
  <c r="Z27" i="25"/>
  <c r="T31" i="25"/>
  <c r="H89" i="51"/>
  <c r="N46" i="51"/>
  <c r="P107" i="36"/>
  <c r="X103" i="36"/>
  <c r="R103" i="36"/>
  <c r="X27" i="46"/>
  <c r="P31" i="46"/>
  <c r="P247" i="3"/>
  <c r="R243" i="3"/>
  <c r="D31" i="28"/>
  <c r="L27" i="28"/>
  <c r="F32" i="78"/>
  <c r="H42" i="83"/>
  <c r="L55" i="96"/>
  <c r="D59" i="96"/>
  <c r="F55" i="96"/>
  <c r="T88" i="9"/>
  <c r="P31" i="14"/>
  <c r="X27" i="14"/>
  <c r="L42" i="60"/>
  <c r="D46" i="60"/>
  <c r="H86" i="85"/>
  <c r="J83" i="85"/>
  <c r="P59" i="96"/>
  <c r="X55" i="96"/>
  <c r="R55" i="96"/>
  <c r="P31" i="20"/>
  <c r="X27" i="20"/>
  <c r="D79" i="24"/>
  <c r="L39" i="24"/>
  <c r="D63" i="56"/>
  <c r="L60" i="56"/>
  <c r="N60" i="56" s="1"/>
  <c r="H93" i="71"/>
  <c r="J89" i="71"/>
  <c r="T46" i="74"/>
  <c r="Z42" i="74"/>
  <c r="P42" i="83"/>
  <c r="X38" i="83"/>
  <c r="X30" i="88"/>
  <c r="Z30" i="88" s="1"/>
  <c r="P34" i="88"/>
  <c r="Z27" i="14"/>
  <c r="T31" i="14"/>
  <c r="N27" i="26"/>
  <c r="H31" i="26"/>
  <c r="D107" i="36"/>
  <c r="L103" i="36"/>
  <c r="F103" i="36"/>
  <c r="P31" i="37"/>
  <c r="X27" i="37"/>
  <c r="T31" i="53"/>
  <c r="X31" i="53" s="1"/>
  <c r="Z27" i="53"/>
  <c r="P60" i="56"/>
  <c r="X56" i="56"/>
  <c r="Z56" i="56" s="1"/>
  <c r="D46" i="67"/>
  <c r="L21" i="67"/>
  <c r="T103" i="36"/>
  <c r="N27" i="38"/>
  <c r="H31" i="38"/>
  <c r="P46" i="74"/>
  <c r="X42" i="74"/>
  <c r="D83" i="85"/>
  <c r="L79" i="85"/>
  <c r="N79" i="85" s="1"/>
  <c r="F79" i="85"/>
  <c r="Z27" i="46"/>
  <c r="T31" i="46"/>
  <c r="T31" i="4"/>
  <c r="Z27" i="4"/>
  <c r="P79" i="24"/>
  <c r="X39" i="24"/>
  <c r="P36" i="43"/>
  <c r="X36" i="43" s="1"/>
  <c r="X31" i="43"/>
  <c r="Z55" i="96"/>
  <c r="T59" i="96"/>
  <c r="V55" i="96"/>
  <c r="X23" i="36"/>
  <c r="Z23" i="36" s="1"/>
  <c r="X129" i="18"/>
  <c r="Z129" i="18" s="1"/>
  <c r="P223" i="18"/>
  <c r="L27" i="19"/>
  <c r="D31" i="19"/>
  <c r="N27" i="34"/>
  <c r="H31" i="34"/>
  <c r="T31" i="41"/>
  <c r="Z27" i="41"/>
  <c r="D31" i="53"/>
  <c r="L27" i="53"/>
  <c r="X27" i="52"/>
  <c r="P31" i="52"/>
  <c r="N35" i="64"/>
  <c r="H73" i="64"/>
  <c r="H70" i="81"/>
  <c r="N66" i="81"/>
  <c r="D26" i="6"/>
  <c r="L22" i="6"/>
  <c r="T31" i="99"/>
  <c r="X31" i="99" s="1"/>
  <c r="Z27" i="99"/>
  <c r="Z137" i="3"/>
  <c r="T243" i="3"/>
  <c r="Z27" i="32"/>
  <c r="T31" i="32"/>
  <c r="L27" i="25"/>
  <c r="D31" i="25"/>
  <c r="J46" i="51"/>
  <c r="N27" i="41"/>
  <c r="H31" i="41"/>
  <c r="L31" i="41" s="1"/>
  <c r="T31" i="37"/>
  <c r="Z27" i="37"/>
  <c r="P26" i="6"/>
  <c r="X22" i="6"/>
  <c r="D105" i="39"/>
  <c r="L101" i="39"/>
  <c r="F101" i="39"/>
  <c r="F39" i="24"/>
  <c r="H31" i="35"/>
  <c r="N27" i="35"/>
  <c r="T124" i="69"/>
  <c r="T72" i="91"/>
  <c r="N27" i="8"/>
  <c r="H31" i="8"/>
  <c r="H36" i="14"/>
  <c r="N31" i="14"/>
  <c r="L31" i="14"/>
  <c r="P36" i="10"/>
  <c r="D31" i="38"/>
  <c r="L27" i="38"/>
  <c r="L27" i="46"/>
  <c r="D31" i="46"/>
  <c r="P41" i="89"/>
  <c r="X37" i="89"/>
  <c r="D65" i="57"/>
  <c r="L62" i="57"/>
  <c r="N62" i="57" s="1"/>
  <c r="T29" i="75"/>
  <c r="P36" i="99"/>
  <c r="H36" i="4"/>
  <c r="N36" i="4" s="1"/>
  <c r="N31" i="4"/>
  <c r="H78" i="33"/>
  <c r="N74" i="33"/>
  <c r="J74" i="33"/>
  <c r="H107" i="36"/>
  <c r="N103" i="36"/>
  <c r="J103" i="36"/>
  <c r="D26" i="54"/>
  <c r="L22" i="54"/>
  <c r="T73" i="64"/>
  <c r="X23" i="75"/>
  <c r="Z23" i="75" s="1"/>
  <c r="H68" i="79"/>
  <c r="P28" i="92"/>
  <c r="X24" i="92"/>
  <c r="Z24" i="92" s="1"/>
  <c r="H36" i="11"/>
  <c r="N36" i="11" s="1"/>
  <c r="N31" i="11"/>
  <c r="P36" i="17"/>
  <c r="R39" i="24"/>
  <c r="N27" i="29"/>
  <c r="H31" i="29"/>
  <c r="N27" i="25"/>
  <c r="H31" i="25"/>
  <c r="T89" i="51"/>
  <c r="V46" i="51"/>
  <c r="H31" i="54"/>
  <c r="N26" i="54"/>
  <c r="H39" i="72"/>
  <c r="N39" i="72" s="1"/>
  <c r="N36" i="72"/>
  <c r="P67" i="86"/>
  <c r="X64" i="86"/>
  <c r="H36" i="13"/>
  <c r="N36" i="13" s="1"/>
  <c r="N31" i="13"/>
  <c r="X27" i="7"/>
  <c r="P31" i="7"/>
  <c r="L27" i="8"/>
  <c r="D31" i="8"/>
  <c r="T36" i="20"/>
  <c r="Z36" i="20" s="1"/>
  <c r="Z31" i="20"/>
  <c r="T31" i="29"/>
  <c r="Z27" i="29"/>
  <c r="H46" i="67"/>
  <c r="N21" i="67"/>
  <c r="P39" i="80"/>
  <c r="Z21" i="93"/>
  <c r="T77" i="93"/>
  <c r="V21" i="93"/>
  <c r="H34" i="55"/>
  <c r="L30" i="55"/>
  <c r="N30" i="55" s="1"/>
  <c r="D71" i="94"/>
  <c r="L67" i="94"/>
  <c r="F67" i="94"/>
  <c r="P36" i="16"/>
  <c r="Z27" i="22"/>
  <c r="T31" i="22"/>
  <c r="X31" i="22" s="1"/>
  <c r="P64" i="73"/>
  <c r="X60" i="73"/>
  <c r="H89" i="77"/>
  <c r="T227" i="18"/>
  <c r="V223" i="18"/>
  <c r="H96" i="62"/>
  <c r="H31" i="16"/>
  <c r="N27" i="16"/>
  <c r="N24" i="95"/>
  <c r="H28" i="95"/>
  <c r="T144" i="30"/>
  <c r="V140" i="30"/>
  <c r="L27" i="40"/>
  <c r="D31" i="40"/>
  <c r="Z27" i="10"/>
  <c r="T31" i="10"/>
  <c r="X31" i="10" s="1"/>
  <c r="H31" i="6"/>
  <c r="N26" i="6"/>
  <c r="D48" i="90"/>
  <c r="L44" i="90"/>
  <c r="N44" i="90" s="1"/>
  <c r="X137" i="3"/>
  <c r="D31" i="7"/>
  <c r="L27" i="7"/>
  <c r="D31" i="37"/>
  <c r="L27" i="37"/>
  <c r="X27" i="32"/>
  <c r="P31" i="32"/>
  <c r="H48" i="61"/>
  <c r="N44" i="61"/>
  <c r="L44" i="61"/>
  <c r="L27" i="70"/>
  <c r="D71" i="70"/>
  <c r="P68" i="76"/>
  <c r="X20" i="76"/>
  <c r="Z20" i="76" s="1"/>
  <c r="P48" i="90"/>
  <c r="X44" i="90"/>
  <c r="H206" i="12"/>
  <c r="T31" i="28"/>
  <c r="Z27" i="28"/>
  <c r="T105" i="39"/>
  <c r="V101" i="39"/>
  <c r="T60" i="73"/>
  <c r="Z19" i="73"/>
  <c r="X37" i="77"/>
  <c r="Z37" i="77" s="1"/>
  <c r="P89" i="77"/>
  <c r="R37" i="77"/>
  <c r="H81" i="93"/>
  <c r="J77" i="93"/>
  <c r="D64" i="58"/>
  <c r="L60" i="58"/>
  <c r="N60" i="58" s="1"/>
  <c r="V137" i="3"/>
  <c r="T31" i="17"/>
  <c r="X31" i="17" s="1"/>
  <c r="Z27" i="17"/>
  <c r="N31" i="47"/>
  <c r="H36" i="47"/>
  <c r="N36" i="47" s="1"/>
  <c r="V74" i="69"/>
  <c r="H49" i="74"/>
  <c r="X72" i="91"/>
  <c r="P76" i="91"/>
  <c r="R72" i="91"/>
  <c r="H36" i="20"/>
  <c r="N36" i="20" s="1"/>
  <c r="N31" i="20"/>
  <c r="H223" i="18"/>
  <c r="L27" i="23"/>
  <c r="D31" i="23"/>
  <c r="P31" i="38"/>
  <c r="X27" i="38"/>
  <c r="T48" i="61"/>
  <c r="D29" i="75"/>
  <c r="L23" i="75"/>
  <c r="P36" i="82"/>
  <c r="X32" i="82"/>
  <c r="Z32" i="82" s="1"/>
  <c r="H31" i="92"/>
  <c r="N28" i="92"/>
  <c r="L27" i="99"/>
  <c r="R50" i="66"/>
  <c r="V23" i="75"/>
  <c r="V23" i="36"/>
  <c r="X29" i="75"/>
  <c r="P33" i="75"/>
  <c r="R29" i="75"/>
  <c r="P67" i="58"/>
  <c r="D31" i="29"/>
  <c r="L27" i="29"/>
  <c r="H31" i="53"/>
  <c r="N27" i="53"/>
  <c r="Z42" i="60"/>
  <c r="T46" i="60"/>
  <c r="X42" i="60"/>
  <c r="P73" i="64"/>
  <c r="X35" i="64"/>
  <c r="Z35" i="64" s="1"/>
  <c r="H36" i="82"/>
  <c r="P36" i="22"/>
  <c r="H46" i="60"/>
  <c r="N42" i="60"/>
  <c r="D35" i="87"/>
  <c r="L31" i="87"/>
  <c r="N31" i="87" s="1"/>
  <c r="N104" i="27"/>
  <c r="H108" i="27"/>
  <c r="J104" i="27"/>
  <c r="H31" i="31"/>
  <c r="N27" i="31"/>
  <c r="L37" i="77"/>
  <c r="N37" i="77" s="1"/>
  <c r="H51" i="90"/>
  <c r="D76" i="91"/>
  <c r="L72" i="91"/>
  <c r="F72" i="91"/>
  <c r="T50" i="67"/>
  <c r="D31" i="16"/>
  <c r="L27" i="16"/>
  <c r="N27" i="22"/>
  <c r="H31" i="22"/>
  <c r="V32" i="78"/>
  <c r="D42" i="83"/>
  <c r="L38" i="83"/>
  <c r="N38" i="83" s="1"/>
  <c r="H31" i="44"/>
  <c r="L31" i="44" s="1"/>
  <c r="N27" i="44"/>
  <c r="D41" i="89"/>
  <c r="L37" i="89"/>
  <c r="N37" i="89" s="1"/>
  <c r="H63" i="56"/>
  <c r="L27" i="22"/>
  <c r="D31" i="22"/>
  <c r="P105" i="39"/>
  <c r="X101" i="39"/>
  <c r="Z101" i="39" s="1"/>
  <c r="R101" i="39"/>
  <c r="Z27" i="44"/>
  <c r="T31" i="44"/>
  <c r="X27" i="44"/>
  <c r="P31" i="44"/>
  <c r="T83" i="85"/>
  <c r="V79" i="85"/>
  <c r="N27" i="97"/>
  <c r="H31" i="97"/>
  <c r="T93" i="62"/>
  <c r="Z89" i="62"/>
  <c r="X89" i="62"/>
  <c r="X46" i="71"/>
  <c r="P89" i="71"/>
  <c r="T199" i="15"/>
  <c r="T26" i="6"/>
  <c r="Z22" i="6"/>
  <c r="D108" i="27"/>
  <c r="L104" i="27"/>
  <c r="F104" i="27"/>
  <c r="P31" i="29"/>
  <c r="X27" i="29"/>
  <c r="X27" i="41"/>
  <c r="P31" i="41"/>
  <c r="N36" i="65"/>
  <c r="H39" i="65"/>
  <c r="D39" i="80"/>
  <c r="L36" i="80"/>
  <c r="H38" i="87"/>
  <c r="X21" i="91"/>
  <c r="Z21" i="91" s="1"/>
  <c r="X84" i="9"/>
  <c r="Z84" i="9" s="1"/>
  <c r="D64" i="73"/>
  <c r="L60" i="73"/>
  <c r="D36" i="99"/>
  <c r="P31" i="5"/>
  <c r="X27" i="5"/>
  <c r="Z27" i="8"/>
  <c r="T31" i="8"/>
  <c r="N27" i="10"/>
  <c r="H31" i="10"/>
  <c r="L27" i="10"/>
  <c r="P31" i="25"/>
  <c r="X27" i="25"/>
  <c r="D31" i="50"/>
  <c r="L27" i="50"/>
  <c r="T59" i="48"/>
  <c r="V55" i="48"/>
  <c r="X44" i="61"/>
  <c r="Z44" i="61" s="1"/>
  <c r="T64" i="79"/>
  <c r="Z20" i="79"/>
  <c r="X66" i="81"/>
  <c r="Z66" i="81" s="1"/>
  <c r="P70" i="81"/>
  <c r="D36" i="72"/>
  <c r="L32" i="72"/>
  <c r="P31" i="8"/>
  <c r="X27" i="8"/>
  <c r="X107" i="15"/>
  <c r="Z107" i="15" s="1"/>
  <c r="P199" i="15"/>
  <c r="H78" i="21"/>
  <c r="N26" i="21"/>
  <c r="D78" i="33"/>
  <c r="L74" i="33"/>
  <c r="F74" i="33"/>
  <c r="T78" i="33"/>
  <c r="V74" i="33"/>
  <c r="H59" i="48"/>
  <c r="N55" i="48"/>
  <c r="J55" i="48"/>
  <c r="P36" i="53"/>
  <c r="P46" i="67"/>
  <c r="X21" i="67"/>
  <c r="Z21" i="67" s="1"/>
  <c r="H72" i="76"/>
  <c r="T31" i="92"/>
  <c r="X27" i="98"/>
  <c r="P31" i="98"/>
  <c r="X27" i="35"/>
  <c r="P31" i="35"/>
  <c r="H83" i="45"/>
  <c r="N21" i="45"/>
  <c r="P31" i="11"/>
  <c r="X27" i="11"/>
  <c r="L27" i="31"/>
  <c r="D31" i="31"/>
  <c r="P31" i="40"/>
  <c r="X27" i="40"/>
  <c r="T104" i="66"/>
  <c r="Z50" i="66"/>
  <c r="X27" i="70"/>
  <c r="Z27" i="70" s="1"/>
  <c r="P71" i="70"/>
  <c r="D93" i="77"/>
  <c r="F89" i="77"/>
  <c r="D28" i="95"/>
  <c r="L24" i="95"/>
  <c r="H65" i="57"/>
  <c r="T71" i="94"/>
  <c r="Z67" i="94"/>
  <c r="P62" i="57"/>
  <c r="X58" i="57"/>
  <c r="Z58" i="57" s="1"/>
  <c r="D104" i="66"/>
  <c r="L50" i="66"/>
  <c r="N50" i="66" s="1"/>
  <c r="T104" i="27"/>
  <c r="T34" i="88"/>
  <c r="T31" i="5"/>
  <c r="Z27" i="5"/>
  <c r="D39" i="82"/>
  <c r="L36" i="82"/>
  <c r="L27" i="34"/>
  <c r="D31" i="34"/>
  <c r="D124" i="69"/>
  <c r="L74" i="69"/>
  <c r="N74" i="69" s="1"/>
  <c r="H95" i="42"/>
  <c r="N91" i="42"/>
  <c r="J91" i="42"/>
  <c r="N27" i="49"/>
  <c r="H31" i="49"/>
  <c r="T31" i="11"/>
  <c r="Z27" i="11"/>
  <c r="H140" i="30"/>
  <c r="N27" i="37"/>
  <c r="H31" i="37"/>
  <c r="X20" i="79"/>
  <c r="P64" i="79"/>
  <c r="D35" i="84"/>
  <c r="L31" i="84"/>
  <c r="N67" i="94"/>
  <c r="H71" i="94"/>
  <c r="P31" i="97"/>
  <c r="X27" i="97"/>
  <c r="T31" i="49"/>
  <c r="Z27" i="49"/>
  <c r="P31" i="49"/>
  <c r="X27" i="49"/>
  <c r="V19" i="73"/>
  <c r="J37" i="77"/>
  <c r="H29" i="78"/>
  <c r="N25" i="78"/>
  <c r="L25" i="78"/>
  <c r="J25" i="78"/>
  <c r="P28" i="95"/>
  <c r="X24" i="95"/>
  <c r="Z24" i="95" s="1"/>
  <c r="N55" i="96"/>
  <c r="H59" i="96"/>
  <c r="J55" i="96"/>
  <c r="X27" i="13"/>
  <c r="P31" i="13"/>
  <c r="D140" i="30"/>
  <c r="L74" i="30"/>
  <c r="N74" i="30" s="1"/>
  <c r="T93" i="77"/>
  <c r="V89" i="77"/>
  <c r="P91" i="9"/>
  <c r="L27" i="41"/>
  <c r="D95" i="42"/>
  <c r="L91" i="42"/>
  <c r="F91" i="42"/>
  <c r="N27" i="46"/>
  <c r="H31" i="46"/>
  <c r="T31" i="50"/>
  <c r="Z27" i="50"/>
  <c r="F23" i="75"/>
  <c r="T35" i="84"/>
  <c r="V31" i="84"/>
  <c r="P71" i="94"/>
  <c r="X67" i="94"/>
  <c r="R67" i="94"/>
  <c r="H243" i="3"/>
  <c r="D31" i="17"/>
  <c r="L27" i="17"/>
  <c r="Z27" i="23"/>
  <c r="T31" i="23"/>
  <c r="H31" i="32"/>
  <c r="N27" i="32"/>
  <c r="T31" i="38"/>
  <c r="Z27" i="38"/>
  <c r="P51" i="61"/>
  <c r="X48" i="61"/>
  <c r="D68" i="79"/>
  <c r="L64" i="79"/>
  <c r="N64" i="79" s="1"/>
  <c r="F64" i="79"/>
  <c r="P36" i="72"/>
  <c r="X32" i="72"/>
  <c r="D64" i="86"/>
  <c r="L60" i="86"/>
  <c r="N60" i="86" s="1"/>
  <c r="Z27" i="31"/>
  <c r="T31" i="31"/>
  <c r="X31" i="31" s="1"/>
  <c r="H104" i="66"/>
  <c r="L31" i="92"/>
  <c r="H31" i="7"/>
  <c r="N27" i="7"/>
  <c r="L27" i="20"/>
  <c r="D31" i="20"/>
  <c r="T79" i="24"/>
  <c r="Z39" i="24"/>
  <c r="N27" i="40"/>
  <c r="H31" i="40"/>
  <c r="X27" i="47"/>
  <c r="P31" i="47"/>
  <c r="X27" i="53"/>
  <c r="D46" i="74"/>
  <c r="L42" i="74"/>
  <c r="N42" i="74" s="1"/>
  <c r="T36" i="80"/>
  <c r="Z32" i="80"/>
  <c r="X111" i="12"/>
  <c r="P206" i="12"/>
  <c r="D31" i="13"/>
  <c r="L27" i="13"/>
  <c r="P56" i="59"/>
  <c r="X53" i="59"/>
  <c r="P36" i="4"/>
  <c r="L27" i="43"/>
  <c r="D31" i="43"/>
  <c r="P31" i="23"/>
  <c r="X27" i="23"/>
  <c r="L27" i="35"/>
  <c r="D31" i="35"/>
  <c r="X50" i="27"/>
  <c r="Z50" i="27" s="1"/>
  <c r="P104" i="27"/>
  <c r="H67" i="58"/>
  <c r="H71" i="70"/>
  <c r="N27" i="70"/>
  <c r="D31" i="5"/>
  <c r="L27" i="5"/>
  <c r="D78" i="21"/>
  <c r="L26" i="21"/>
  <c r="Z27" i="34"/>
  <c r="T31" i="34"/>
  <c r="X17" i="84"/>
  <c r="Z17" i="84" s="1"/>
  <c r="P31" i="84"/>
  <c r="D77" i="93"/>
  <c r="L21" i="93"/>
  <c r="N21" i="93" s="1"/>
  <c r="T95" i="42"/>
  <c r="V91" i="42"/>
  <c r="L27" i="97"/>
  <c r="D31" i="97"/>
  <c r="D31" i="49"/>
  <c r="L27" i="49"/>
  <c r="P89" i="51"/>
  <c r="X46" i="51"/>
  <c r="Z46" i="51" s="1"/>
  <c r="N27" i="5"/>
  <c r="H31" i="5"/>
  <c r="D223" i="18"/>
  <c r="L129" i="18"/>
  <c r="N129" i="18" s="1"/>
  <c r="F50" i="66"/>
  <c r="L137" i="3"/>
  <c r="N137" i="3" s="1"/>
  <c r="D243" i="3"/>
  <c r="D36" i="41"/>
  <c r="H36" i="50"/>
  <c r="N36" i="50" s="1"/>
  <c r="N31" i="50"/>
  <c r="H56" i="59"/>
  <c r="L35" i="64"/>
  <c r="D73" i="64"/>
  <c r="N23" i="75"/>
  <c r="H29" i="75"/>
  <c r="Z27" i="97"/>
  <c r="T31" i="97"/>
  <c r="L27" i="26"/>
  <c r="D31" i="26"/>
  <c r="P37" i="55"/>
  <c r="X37" i="55" s="1"/>
  <c r="Z37" i="55" s="1"/>
  <c r="X34" i="55"/>
  <c r="Z34" i="55" s="1"/>
  <c r="T89" i="71"/>
  <c r="Z46" i="71"/>
  <c r="T42" i="83"/>
  <c r="Z38" i="83"/>
  <c r="H199" i="15"/>
  <c r="H31" i="28"/>
  <c r="N27" i="28"/>
  <c r="Z27" i="26"/>
  <c r="T31" i="26"/>
  <c r="Z27" i="35"/>
  <c r="T31" i="35"/>
  <c r="Z49" i="59"/>
  <c r="T53" i="59"/>
  <c r="J27" i="70"/>
  <c r="H31" i="84"/>
  <c r="N17" i="84"/>
  <c r="D34" i="88"/>
  <c r="L30" i="88"/>
  <c r="N30" i="88" s="1"/>
  <c r="Z27" i="98"/>
  <c r="T31" i="98"/>
  <c r="D199" i="15"/>
  <c r="L107" i="15"/>
  <c r="N107" i="15" s="1"/>
  <c r="F107" i="15"/>
  <c r="X27" i="4"/>
  <c r="Z27" i="7"/>
  <c r="T31" i="7"/>
  <c r="T78" i="21"/>
  <c r="Z26" i="21"/>
  <c r="X26" i="21"/>
  <c r="P36" i="31"/>
  <c r="H31" i="52"/>
  <c r="N27" i="52"/>
  <c r="D89" i="71"/>
  <c r="L46" i="71"/>
  <c r="N46" i="71" s="1"/>
  <c r="H124" i="69"/>
  <c r="D70" i="81"/>
  <c r="L66" i="81"/>
  <c r="H64" i="86"/>
  <c r="P87" i="45"/>
  <c r="X83" i="45"/>
  <c r="Z83" i="45" s="1"/>
  <c r="R83" i="45"/>
  <c r="D89" i="51"/>
  <c r="L46" i="51"/>
  <c r="N60" i="73"/>
  <c r="H64" i="73"/>
  <c r="J60" i="73"/>
  <c r="T26" i="54"/>
  <c r="Z22" i="54"/>
  <c r="X22" i="54"/>
  <c r="P36" i="34"/>
  <c r="H101" i="39"/>
  <c r="N29" i="39"/>
  <c r="L27" i="44"/>
  <c r="T64" i="58"/>
  <c r="Z60" i="58"/>
  <c r="T35" i="87"/>
  <c r="X35" i="87" s="1"/>
  <c r="P140" i="30"/>
  <c r="X74" i="30"/>
  <c r="Z74" i="30" s="1"/>
  <c r="P78" i="33"/>
  <c r="X74" i="33"/>
  <c r="Z74" i="33" s="1"/>
  <c r="R74" i="33"/>
  <c r="D96" i="62"/>
  <c r="L96" i="62" s="1"/>
  <c r="L93" i="62"/>
  <c r="N93" i="62" s="1"/>
  <c r="P36" i="65"/>
  <c r="X32" i="65"/>
  <c r="Z32" i="65" s="1"/>
  <c r="H91" i="9"/>
  <c r="T206" i="12"/>
  <c r="Z111" i="12"/>
  <c r="T31" i="13"/>
  <c r="Z27" i="13"/>
  <c r="D88" i="9"/>
  <c r="L84" i="9"/>
  <c r="N84" i="9" s="1"/>
  <c r="H79" i="24"/>
  <c r="N39" i="24"/>
  <c r="X27" i="34"/>
  <c r="D36" i="44"/>
  <c r="D36" i="47"/>
  <c r="L31" i="47"/>
  <c r="F46" i="51"/>
  <c r="D68" i="76"/>
  <c r="L20" i="76"/>
  <c r="N20" i="76" s="1"/>
  <c r="P83" i="85"/>
  <c r="X79" i="85"/>
  <c r="Z79" i="85" s="1"/>
  <c r="R79" i="85"/>
  <c r="X21" i="93"/>
  <c r="P77" i="93"/>
  <c r="D206" i="12"/>
  <c r="L111" i="12"/>
  <c r="N111" i="12" s="1"/>
  <c r="T63" i="56"/>
  <c r="H39" i="80"/>
  <c r="N36" i="80"/>
  <c r="V107" i="15"/>
  <c r="N27" i="17"/>
  <c r="H31" i="17"/>
  <c r="D31" i="32"/>
  <c r="L27" i="32"/>
  <c r="P124" i="69"/>
  <c r="X74" i="69"/>
  <c r="Z74" i="69" s="1"/>
  <c r="Z60" i="86"/>
  <c r="T64" i="86"/>
  <c r="X31" i="87"/>
  <c r="Z31" i="87" s="1"/>
  <c r="T31" i="95"/>
  <c r="F129" i="18"/>
  <c r="N27" i="23"/>
  <c r="H31" i="23"/>
  <c r="P91" i="42"/>
  <c r="X21" i="42"/>
  <c r="Z21" i="42" s="1"/>
  <c r="R21" i="42"/>
  <c r="T65" i="57"/>
  <c r="L39" i="65"/>
  <c r="J23" i="75"/>
  <c r="D31" i="98"/>
  <c r="L27" i="98"/>
  <c r="T48" i="90"/>
  <c r="Z44" i="90"/>
  <c r="D31" i="4"/>
  <c r="L27" i="4"/>
  <c r="T31" i="16"/>
  <c r="Z27" i="16"/>
  <c r="P31" i="26"/>
  <c r="X27" i="26"/>
  <c r="T87" i="45"/>
  <c r="V83" i="45"/>
  <c r="P59" i="48"/>
  <c r="X55" i="48"/>
  <c r="Z55" i="48" s="1"/>
  <c r="R55" i="48"/>
  <c r="T72" i="76"/>
  <c r="T36" i="72"/>
  <c r="Z32" i="72"/>
  <c r="D87" i="45"/>
  <c r="L83" i="45"/>
  <c r="F83" i="45"/>
  <c r="Z27" i="19"/>
  <c r="T31" i="19"/>
  <c r="D31" i="52"/>
  <c r="L27" i="52"/>
  <c r="D59" i="48"/>
  <c r="L55" i="48"/>
  <c r="F55" i="48"/>
  <c r="H31" i="98"/>
  <c r="N27" i="98"/>
  <c r="D31" i="11"/>
  <c r="L27" i="11"/>
  <c r="P29" i="78"/>
  <c r="X25" i="78"/>
  <c r="Z25" i="78" s="1"/>
  <c r="R25" i="78"/>
  <c r="R129" i="18"/>
  <c r="V26" i="21"/>
  <c r="P31" i="19"/>
  <c r="X27" i="19"/>
  <c r="P82" i="21"/>
  <c r="R78" i="21"/>
  <c r="X27" i="31"/>
  <c r="Z27" i="40"/>
  <c r="T31" i="40"/>
  <c r="J35" i="64"/>
  <c r="D53" i="59"/>
  <c r="L49" i="59"/>
  <c r="N49" i="59" s="1"/>
  <c r="L32" i="82"/>
  <c r="N32" i="82" s="1"/>
  <c r="Z37" i="89"/>
  <c r="T41" i="89"/>
  <c r="T78" i="70"/>
  <c r="V75" i="70"/>
  <c r="Z31" i="47" l="1"/>
  <c r="L36" i="47"/>
  <c r="T82" i="21"/>
  <c r="V78" i="21"/>
  <c r="T39" i="80"/>
  <c r="D93" i="71"/>
  <c r="L89" i="71"/>
  <c r="N89" i="71" s="1"/>
  <c r="F89" i="71"/>
  <c r="T96" i="62"/>
  <c r="X93" i="62"/>
  <c r="Z93" i="62" s="1"/>
  <c r="P39" i="82"/>
  <c r="X39" i="82" s="1"/>
  <c r="X36" i="82"/>
  <c r="Z36" i="82" s="1"/>
  <c r="T36" i="28"/>
  <c r="Z36" i="28" s="1"/>
  <c r="Z31" i="28"/>
  <c r="T36" i="10"/>
  <c r="Z36" i="10" s="1"/>
  <c r="Z31" i="10"/>
  <c r="H93" i="77"/>
  <c r="J89" i="77"/>
  <c r="H110" i="36"/>
  <c r="J107" i="36"/>
  <c r="H73" i="81"/>
  <c r="T36" i="41"/>
  <c r="Z36" i="41" s="1"/>
  <c r="Z31" i="41"/>
  <c r="T36" i="4"/>
  <c r="Z36" i="4" s="1"/>
  <c r="Z31" i="4"/>
  <c r="L63" i="56"/>
  <c r="T91" i="9"/>
  <c r="X91" i="9" s="1"/>
  <c r="P36" i="26"/>
  <c r="X31" i="26"/>
  <c r="P36" i="97"/>
  <c r="X31" i="97"/>
  <c r="P36" i="75"/>
  <c r="R33" i="75"/>
  <c r="T36" i="29"/>
  <c r="Z36" i="29" s="1"/>
  <c r="Z31" i="29"/>
  <c r="H36" i="35"/>
  <c r="N36" i="35" s="1"/>
  <c r="N31" i="35"/>
  <c r="D50" i="67"/>
  <c r="L46" i="67"/>
  <c r="P62" i="96"/>
  <c r="X59" i="96"/>
  <c r="Z59" i="96" s="1"/>
  <c r="R59" i="96"/>
  <c r="X78" i="21"/>
  <c r="Z78" i="21" s="1"/>
  <c r="P32" i="78"/>
  <c r="X29" i="78"/>
  <c r="Z29" i="78" s="1"/>
  <c r="R29" i="78"/>
  <c r="P128" i="69"/>
  <c r="X124" i="69"/>
  <c r="R124" i="69"/>
  <c r="P86" i="85"/>
  <c r="X83" i="85"/>
  <c r="R83" i="85"/>
  <c r="T67" i="58"/>
  <c r="X67" i="58" s="1"/>
  <c r="T31" i="54"/>
  <c r="Z26" i="54"/>
  <c r="X26" i="54"/>
  <c r="P90" i="45"/>
  <c r="X87" i="45"/>
  <c r="R87" i="45"/>
  <c r="Z31" i="7"/>
  <c r="T36" i="7"/>
  <c r="Z36" i="7" s="1"/>
  <c r="Z42" i="83"/>
  <c r="T45" i="83"/>
  <c r="H36" i="5"/>
  <c r="N36" i="5" s="1"/>
  <c r="N31" i="5"/>
  <c r="H108" i="66"/>
  <c r="J104" i="66"/>
  <c r="H36" i="32"/>
  <c r="N36" i="32" s="1"/>
  <c r="N31" i="32"/>
  <c r="N31" i="46"/>
  <c r="H36" i="46"/>
  <c r="N36" i="46" s="1"/>
  <c r="N59" i="96"/>
  <c r="H62" i="96"/>
  <c r="J59" i="96"/>
  <c r="H74" i="94"/>
  <c r="T108" i="66"/>
  <c r="V104" i="66"/>
  <c r="P36" i="11"/>
  <c r="X31" i="11"/>
  <c r="P73" i="81"/>
  <c r="X73" i="81" s="1"/>
  <c r="Z73" i="81" s="1"/>
  <c r="X70" i="81"/>
  <c r="Z70" i="81" s="1"/>
  <c r="N63" i="56"/>
  <c r="P85" i="21"/>
  <c r="X82" i="21"/>
  <c r="R82" i="21"/>
  <c r="Z31" i="16"/>
  <c r="T36" i="16"/>
  <c r="Z36" i="16" s="1"/>
  <c r="T210" i="12"/>
  <c r="V206" i="12"/>
  <c r="D37" i="88"/>
  <c r="L37" i="88" s="1"/>
  <c r="N37" i="88" s="1"/>
  <c r="L34" i="88"/>
  <c r="N34" i="88" s="1"/>
  <c r="T36" i="26"/>
  <c r="Z36" i="26" s="1"/>
  <c r="Z31" i="26"/>
  <c r="H33" i="75"/>
  <c r="J29" i="75"/>
  <c r="H75" i="70"/>
  <c r="J71" i="70"/>
  <c r="P36" i="23"/>
  <c r="X31" i="23"/>
  <c r="L46" i="74"/>
  <c r="N46" i="74" s="1"/>
  <c r="D49" i="74"/>
  <c r="L49" i="74" s="1"/>
  <c r="N49" i="74" s="1"/>
  <c r="T36" i="23"/>
  <c r="Z36" i="23" s="1"/>
  <c r="Z31" i="23"/>
  <c r="X71" i="94"/>
  <c r="P74" i="94"/>
  <c r="R71" i="94"/>
  <c r="H98" i="42"/>
  <c r="J95" i="42"/>
  <c r="T36" i="5"/>
  <c r="Z36" i="5" s="1"/>
  <c r="Z31" i="5"/>
  <c r="X62" i="57"/>
  <c r="Z62" i="57" s="1"/>
  <c r="P65" i="57"/>
  <c r="X65" i="57" s="1"/>
  <c r="L89" i="77"/>
  <c r="N89" i="77" s="1"/>
  <c r="H62" i="48"/>
  <c r="J59" i="48"/>
  <c r="H82" i="21"/>
  <c r="J78" i="21"/>
  <c r="D36" i="50"/>
  <c r="L36" i="50" s="1"/>
  <c r="L31" i="50"/>
  <c r="X31" i="41"/>
  <c r="P36" i="41"/>
  <c r="T31" i="6"/>
  <c r="Z26" i="6"/>
  <c r="Z31" i="44"/>
  <c r="T36" i="44"/>
  <c r="Z36" i="44" s="1"/>
  <c r="H111" i="27"/>
  <c r="J108" i="27"/>
  <c r="H39" i="82"/>
  <c r="N36" i="82"/>
  <c r="H36" i="53"/>
  <c r="N36" i="53" s="1"/>
  <c r="N31" i="53"/>
  <c r="D67" i="58"/>
  <c r="L67" i="58" s="1"/>
  <c r="N67" i="58" s="1"/>
  <c r="L64" i="58"/>
  <c r="N64" i="58" s="1"/>
  <c r="T64" i="73"/>
  <c r="Z60" i="73"/>
  <c r="V60" i="73"/>
  <c r="D36" i="7"/>
  <c r="L31" i="7"/>
  <c r="X36" i="80"/>
  <c r="Z36" i="80" s="1"/>
  <c r="H36" i="25"/>
  <c r="N36" i="25" s="1"/>
  <c r="N31" i="25"/>
  <c r="T33" i="75"/>
  <c r="Z29" i="75"/>
  <c r="V29" i="75"/>
  <c r="D36" i="38"/>
  <c r="L31" i="38"/>
  <c r="T36" i="37"/>
  <c r="Z36" i="37" s="1"/>
  <c r="Z31" i="37"/>
  <c r="T247" i="3"/>
  <c r="V243" i="3"/>
  <c r="H77" i="64"/>
  <c r="J73" i="64"/>
  <c r="N31" i="34"/>
  <c r="H36" i="34"/>
  <c r="N36" i="34" s="1"/>
  <c r="T62" i="96"/>
  <c r="V59" i="96"/>
  <c r="Z31" i="46"/>
  <c r="T36" i="46"/>
  <c r="Z36" i="46" s="1"/>
  <c r="D110" i="36"/>
  <c r="L107" i="36"/>
  <c r="N107" i="36" s="1"/>
  <c r="F107" i="36"/>
  <c r="P45" i="83"/>
  <c r="X45" i="83" s="1"/>
  <c r="X42" i="83"/>
  <c r="J86" i="85"/>
  <c r="D36" i="28"/>
  <c r="L31" i="28"/>
  <c r="P110" i="36"/>
  <c r="R107" i="36"/>
  <c r="H79" i="91"/>
  <c r="J76" i="91"/>
  <c r="T75" i="76"/>
  <c r="T36" i="13"/>
  <c r="Z36" i="13" s="1"/>
  <c r="Z31" i="13"/>
  <c r="D108" i="66"/>
  <c r="L104" i="66"/>
  <c r="N104" i="66" s="1"/>
  <c r="F104" i="66"/>
  <c r="T36" i="8"/>
  <c r="Z36" i="8" s="1"/>
  <c r="Z31" i="8"/>
  <c r="D45" i="83"/>
  <c r="L42" i="83"/>
  <c r="N28" i="95"/>
  <c r="H31" i="95"/>
  <c r="N31" i="95" s="1"/>
  <c r="T93" i="51"/>
  <c r="V89" i="51"/>
  <c r="H36" i="8"/>
  <c r="N36" i="8" s="1"/>
  <c r="N31" i="8"/>
  <c r="X59" i="48"/>
  <c r="Z59" i="48" s="1"/>
  <c r="P62" i="48"/>
  <c r="R59" i="48"/>
  <c r="H67" i="73"/>
  <c r="J64" i="73"/>
  <c r="T36" i="34"/>
  <c r="Z36" i="34" s="1"/>
  <c r="Z31" i="34"/>
  <c r="D79" i="91"/>
  <c r="L76" i="91"/>
  <c r="N76" i="91" s="1"/>
  <c r="F76" i="91"/>
  <c r="T36" i="97"/>
  <c r="Z36" i="97" s="1"/>
  <c r="Z31" i="97"/>
  <c r="P39" i="72"/>
  <c r="X36" i="72"/>
  <c r="H32" i="78"/>
  <c r="J29" i="78"/>
  <c r="L29" i="78"/>
  <c r="N29" i="78" s="1"/>
  <c r="D31" i="95"/>
  <c r="L31" i="95" s="1"/>
  <c r="L28" i="95"/>
  <c r="D39" i="72"/>
  <c r="L39" i="72" s="1"/>
  <c r="L36" i="72"/>
  <c r="H36" i="31"/>
  <c r="N36" i="31" s="1"/>
  <c r="N31" i="31"/>
  <c r="H71" i="79"/>
  <c r="N68" i="79"/>
  <c r="D36" i="32"/>
  <c r="L31" i="32"/>
  <c r="H67" i="86"/>
  <c r="T93" i="71"/>
  <c r="V89" i="71"/>
  <c r="T98" i="42"/>
  <c r="V95" i="42"/>
  <c r="D71" i="79"/>
  <c r="L68" i="79"/>
  <c r="F68" i="79"/>
  <c r="H144" i="30"/>
  <c r="J140" i="30"/>
  <c r="N83" i="45"/>
  <c r="H87" i="45"/>
  <c r="J83" i="45"/>
  <c r="P203" i="15"/>
  <c r="X199" i="15"/>
  <c r="R199" i="15"/>
  <c r="P36" i="5"/>
  <c r="X31" i="5"/>
  <c r="N31" i="97"/>
  <c r="H36" i="97"/>
  <c r="N36" i="97" s="1"/>
  <c r="H36" i="22"/>
  <c r="N36" i="22" s="1"/>
  <c r="N31" i="22"/>
  <c r="D36" i="40"/>
  <c r="L31" i="40"/>
  <c r="X39" i="80"/>
  <c r="P36" i="19"/>
  <c r="X31" i="19"/>
  <c r="D90" i="45"/>
  <c r="L87" i="45"/>
  <c r="F87" i="45"/>
  <c r="D36" i="4"/>
  <c r="L36" i="4" s="1"/>
  <c r="L31" i="4"/>
  <c r="H36" i="17"/>
  <c r="N36" i="17" s="1"/>
  <c r="N31" i="17"/>
  <c r="D210" i="12"/>
  <c r="L206" i="12"/>
  <c r="N206" i="12" s="1"/>
  <c r="F206" i="12"/>
  <c r="D72" i="76"/>
  <c r="L68" i="76"/>
  <c r="N68" i="76" s="1"/>
  <c r="F68" i="76"/>
  <c r="H83" i="24"/>
  <c r="J79" i="24"/>
  <c r="N91" i="9"/>
  <c r="H105" i="39"/>
  <c r="L105" i="39" s="1"/>
  <c r="N101" i="39"/>
  <c r="J101" i="39"/>
  <c r="N31" i="84"/>
  <c r="H35" i="84"/>
  <c r="D77" i="64"/>
  <c r="L73" i="64"/>
  <c r="N73" i="64" s="1"/>
  <c r="F73" i="64"/>
  <c r="D247" i="3"/>
  <c r="L243" i="3"/>
  <c r="F243" i="3"/>
  <c r="P93" i="51"/>
  <c r="X89" i="51"/>
  <c r="Z89" i="51" s="1"/>
  <c r="R89" i="51"/>
  <c r="D36" i="13"/>
  <c r="L36" i="13" s="1"/>
  <c r="L31" i="13"/>
  <c r="D36" i="20"/>
  <c r="L36" i="20" s="1"/>
  <c r="L31" i="20"/>
  <c r="T38" i="84"/>
  <c r="V35" i="84"/>
  <c r="X28" i="95"/>
  <c r="Z28" i="95" s="1"/>
  <c r="P31" i="95"/>
  <c r="X31" i="95" s="1"/>
  <c r="Z31" i="95" s="1"/>
  <c r="P36" i="49"/>
  <c r="X31" i="49"/>
  <c r="D38" i="84"/>
  <c r="D128" i="69"/>
  <c r="L124" i="69"/>
  <c r="F124" i="69"/>
  <c r="T37" i="88"/>
  <c r="Z34" i="88"/>
  <c r="T74" i="94"/>
  <c r="Z71" i="94"/>
  <c r="P75" i="70"/>
  <c r="X71" i="70"/>
  <c r="Z71" i="70" s="1"/>
  <c r="R71" i="70"/>
  <c r="P36" i="35"/>
  <c r="X31" i="35"/>
  <c r="T68" i="79"/>
  <c r="P36" i="25"/>
  <c r="X31" i="25"/>
  <c r="N38" i="87"/>
  <c r="D44" i="89"/>
  <c r="L44" i="89" s="1"/>
  <c r="N44" i="89" s="1"/>
  <c r="L41" i="89"/>
  <c r="N41" i="89" s="1"/>
  <c r="D36" i="29"/>
  <c r="L31" i="29"/>
  <c r="H84" i="93"/>
  <c r="J81" i="93"/>
  <c r="N48" i="61"/>
  <c r="H51" i="61"/>
  <c r="L48" i="61"/>
  <c r="X64" i="73"/>
  <c r="P67" i="73"/>
  <c r="H36" i="29"/>
  <c r="N36" i="29" s="1"/>
  <c r="N31" i="29"/>
  <c r="H81" i="33"/>
  <c r="J78" i="33"/>
  <c r="L65" i="57"/>
  <c r="D108" i="39"/>
  <c r="F105" i="39"/>
  <c r="P36" i="52"/>
  <c r="X36" i="52" s="1"/>
  <c r="X31" i="52"/>
  <c r="D36" i="19"/>
  <c r="L36" i="19" s="1"/>
  <c r="L31" i="19"/>
  <c r="T49" i="74"/>
  <c r="Z46" i="74"/>
  <c r="D49" i="60"/>
  <c r="L46" i="60"/>
  <c r="X243" i="3"/>
  <c r="Z243" i="3" s="1"/>
  <c r="H93" i="51"/>
  <c r="J89" i="51"/>
  <c r="T36" i="35"/>
  <c r="Z36" i="35" s="1"/>
  <c r="Z31" i="35"/>
  <c r="D36" i="5"/>
  <c r="L31" i="5"/>
  <c r="P36" i="44"/>
  <c r="X31" i="44"/>
  <c r="D75" i="70"/>
  <c r="L71" i="70"/>
  <c r="N71" i="70" s="1"/>
  <c r="F71" i="70"/>
  <c r="T81" i="93"/>
  <c r="Z77" i="93"/>
  <c r="V77" i="93"/>
  <c r="D62" i="48"/>
  <c r="L59" i="48"/>
  <c r="N59" i="48" s="1"/>
  <c r="F59" i="48"/>
  <c r="P81" i="33"/>
  <c r="X78" i="33"/>
  <c r="R78" i="33"/>
  <c r="T77" i="64"/>
  <c r="V73" i="64"/>
  <c r="T36" i="40"/>
  <c r="Z36" i="40" s="1"/>
  <c r="Z31" i="40"/>
  <c r="N31" i="98"/>
  <c r="H36" i="98"/>
  <c r="N36" i="98" s="1"/>
  <c r="L31" i="52"/>
  <c r="D36" i="52"/>
  <c r="X77" i="93"/>
  <c r="P81" i="93"/>
  <c r="R77" i="93"/>
  <c r="P144" i="30"/>
  <c r="X140" i="30"/>
  <c r="Z140" i="30" s="1"/>
  <c r="R140" i="30"/>
  <c r="X31" i="34"/>
  <c r="D73" i="81"/>
  <c r="L70" i="81"/>
  <c r="N70" i="81" s="1"/>
  <c r="H36" i="28"/>
  <c r="N36" i="28" s="1"/>
  <c r="N31" i="28"/>
  <c r="D81" i="93"/>
  <c r="L77" i="93"/>
  <c r="N77" i="93" s="1"/>
  <c r="F77" i="93"/>
  <c r="P108" i="27"/>
  <c r="X104" i="27"/>
  <c r="R104" i="27"/>
  <c r="D36" i="43"/>
  <c r="L36" i="43" s="1"/>
  <c r="L31" i="43"/>
  <c r="P210" i="12"/>
  <c r="X206" i="12"/>
  <c r="Z206" i="12" s="1"/>
  <c r="R206" i="12"/>
  <c r="D36" i="17"/>
  <c r="L31" i="17"/>
  <c r="D98" i="42"/>
  <c r="L95" i="42"/>
  <c r="N95" i="42" s="1"/>
  <c r="F95" i="42"/>
  <c r="D144" i="30"/>
  <c r="L140" i="30"/>
  <c r="N140" i="30" s="1"/>
  <c r="F140" i="30"/>
  <c r="P68" i="79"/>
  <c r="X64" i="79"/>
  <c r="Z64" i="79" s="1"/>
  <c r="R64" i="79"/>
  <c r="T36" i="11"/>
  <c r="Z36" i="11" s="1"/>
  <c r="Z31" i="11"/>
  <c r="D36" i="34"/>
  <c r="L31" i="34"/>
  <c r="T108" i="27"/>
  <c r="Z104" i="27"/>
  <c r="V104" i="27"/>
  <c r="P36" i="40"/>
  <c r="X31" i="40"/>
  <c r="P50" i="67"/>
  <c r="X46" i="67"/>
  <c r="Z46" i="67" s="1"/>
  <c r="T81" i="33"/>
  <c r="Z78" i="33"/>
  <c r="V78" i="33"/>
  <c r="P36" i="29"/>
  <c r="X31" i="29"/>
  <c r="P93" i="71"/>
  <c r="X89" i="71"/>
  <c r="Z89" i="71" s="1"/>
  <c r="R89" i="71"/>
  <c r="D38" i="87"/>
  <c r="L38" i="87" s="1"/>
  <c r="L35" i="87"/>
  <c r="N35" i="87" s="1"/>
  <c r="X73" i="64"/>
  <c r="Z73" i="64" s="1"/>
  <c r="P77" i="64"/>
  <c r="R73" i="64"/>
  <c r="X64" i="58"/>
  <c r="Z64" i="58" s="1"/>
  <c r="T51" i="61"/>
  <c r="X51" i="61" s="1"/>
  <c r="Z48" i="61"/>
  <c r="P51" i="90"/>
  <c r="X48" i="90"/>
  <c r="P36" i="32"/>
  <c r="X31" i="32"/>
  <c r="N96" i="62"/>
  <c r="T36" i="22"/>
  <c r="Z36" i="22" s="1"/>
  <c r="Z31" i="22"/>
  <c r="H50" i="67"/>
  <c r="N46" i="67"/>
  <c r="P36" i="7"/>
  <c r="X31" i="7"/>
  <c r="Z31" i="99"/>
  <c r="T36" i="99"/>
  <c r="Z36" i="99" s="1"/>
  <c r="T107" i="36"/>
  <c r="Z103" i="36"/>
  <c r="V103" i="36"/>
  <c r="Z31" i="53"/>
  <c r="T36" i="53"/>
  <c r="Z36" i="53" s="1"/>
  <c r="T36" i="14"/>
  <c r="Z36" i="14" s="1"/>
  <c r="Z31" i="14"/>
  <c r="P36" i="20"/>
  <c r="X36" i="20" s="1"/>
  <c r="X31" i="20"/>
  <c r="X247" i="3"/>
  <c r="P252" i="3"/>
  <c r="R247" i="3"/>
  <c r="T36" i="25"/>
  <c r="Z36" i="25" s="1"/>
  <c r="Z31" i="25"/>
  <c r="X104" i="66"/>
  <c r="Z104" i="66" s="1"/>
  <c r="P108" i="66"/>
  <c r="R104" i="66"/>
  <c r="D36" i="98"/>
  <c r="L31" i="98"/>
  <c r="D227" i="18"/>
  <c r="L223" i="18"/>
  <c r="N223" i="18" s="1"/>
  <c r="F223" i="18"/>
  <c r="H36" i="40"/>
  <c r="N36" i="40" s="1"/>
  <c r="N31" i="40"/>
  <c r="T36" i="50"/>
  <c r="Z36" i="50" s="1"/>
  <c r="Z31" i="50"/>
  <c r="H36" i="37"/>
  <c r="N36" i="37" s="1"/>
  <c r="N31" i="37"/>
  <c r="T62" i="48"/>
  <c r="V59" i="48"/>
  <c r="D36" i="37"/>
  <c r="L31" i="37"/>
  <c r="P49" i="74"/>
  <c r="X49" i="74" s="1"/>
  <c r="X46" i="74"/>
  <c r="D56" i="59"/>
  <c r="L56" i="59" s="1"/>
  <c r="L53" i="59"/>
  <c r="N53" i="59" s="1"/>
  <c r="Z65" i="57"/>
  <c r="H36" i="52"/>
  <c r="N36" i="52" s="1"/>
  <c r="N31" i="52"/>
  <c r="T36" i="31"/>
  <c r="Z36" i="31" s="1"/>
  <c r="Z31" i="31"/>
  <c r="H75" i="76"/>
  <c r="H227" i="18"/>
  <c r="J223" i="18"/>
  <c r="D36" i="8"/>
  <c r="L31" i="8"/>
  <c r="T76" i="91"/>
  <c r="Z72" i="91"/>
  <c r="V72" i="91"/>
  <c r="H36" i="38"/>
  <c r="N36" i="38" s="1"/>
  <c r="N31" i="38"/>
  <c r="H36" i="26"/>
  <c r="N36" i="26" s="1"/>
  <c r="N31" i="26"/>
  <c r="D83" i="24"/>
  <c r="L79" i="24"/>
  <c r="N79" i="24" s="1"/>
  <c r="F79" i="24"/>
  <c r="D62" i="96"/>
  <c r="L59" i="96"/>
  <c r="F59" i="96"/>
  <c r="Z39" i="82"/>
  <c r="V78" i="70"/>
  <c r="T36" i="19"/>
  <c r="Z36" i="19" s="1"/>
  <c r="Z31" i="19"/>
  <c r="T39" i="72"/>
  <c r="Z39" i="72" s="1"/>
  <c r="Z36" i="72"/>
  <c r="T90" i="45"/>
  <c r="Z87" i="45"/>
  <c r="V87" i="45"/>
  <c r="T51" i="90"/>
  <c r="Z48" i="90"/>
  <c r="T67" i="86"/>
  <c r="X67" i="86" s="1"/>
  <c r="Z64" i="86"/>
  <c r="D91" i="9"/>
  <c r="L91" i="9" s="1"/>
  <c r="L88" i="9"/>
  <c r="N88" i="9" s="1"/>
  <c r="P39" i="65"/>
  <c r="X39" i="65" s="1"/>
  <c r="Z39" i="65" s="1"/>
  <c r="X36" i="65"/>
  <c r="Z36" i="65" s="1"/>
  <c r="D93" i="51"/>
  <c r="L89" i="51"/>
  <c r="N89" i="51" s="1"/>
  <c r="F89" i="51"/>
  <c r="D203" i="15"/>
  <c r="L199" i="15"/>
  <c r="F199" i="15"/>
  <c r="Z53" i="59"/>
  <c r="T56" i="59"/>
  <c r="D36" i="26"/>
  <c r="L31" i="26"/>
  <c r="D36" i="49"/>
  <c r="L31" i="49"/>
  <c r="P35" i="84"/>
  <c r="X31" i="84"/>
  <c r="Z31" i="84" s="1"/>
  <c r="D82" i="21"/>
  <c r="L78" i="21"/>
  <c r="N78" i="21" s="1"/>
  <c r="F78" i="21"/>
  <c r="P36" i="47"/>
  <c r="X36" i="47" s="1"/>
  <c r="X31" i="47"/>
  <c r="D67" i="86"/>
  <c r="L64" i="86"/>
  <c r="N64" i="86" s="1"/>
  <c r="N243" i="3"/>
  <c r="H247" i="3"/>
  <c r="J243" i="3"/>
  <c r="P36" i="13"/>
  <c r="X31" i="13"/>
  <c r="T36" i="49"/>
  <c r="Z36" i="49" s="1"/>
  <c r="Z31" i="49"/>
  <c r="H36" i="49"/>
  <c r="N36" i="49" s="1"/>
  <c r="N31" i="49"/>
  <c r="N65" i="57"/>
  <c r="D36" i="31"/>
  <c r="L31" i="31"/>
  <c r="P36" i="98"/>
  <c r="X31" i="98"/>
  <c r="P36" i="8"/>
  <c r="X31" i="8"/>
  <c r="H36" i="10"/>
  <c r="N31" i="10"/>
  <c r="L31" i="10"/>
  <c r="L39" i="80"/>
  <c r="N39" i="80" s="1"/>
  <c r="P108" i="39"/>
  <c r="X105" i="39"/>
  <c r="Z105" i="39" s="1"/>
  <c r="R105" i="39"/>
  <c r="H36" i="44"/>
  <c r="N36" i="44" s="1"/>
  <c r="N31" i="44"/>
  <c r="D36" i="16"/>
  <c r="L31" i="16"/>
  <c r="D51" i="90"/>
  <c r="L51" i="90" s="1"/>
  <c r="N51" i="90" s="1"/>
  <c r="L48" i="90"/>
  <c r="N48" i="90" s="1"/>
  <c r="H37" i="55"/>
  <c r="N34" i="55"/>
  <c r="L34" i="55"/>
  <c r="X28" i="92"/>
  <c r="Z28" i="92" s="1"/>
  <c r="P31" i="92"/>
  <c r="X31" i="92" s="1"/>
  <c r="Z31" i="92" s="1"/>
  <c r="L26" i="54"/>
  <c r="D31" i="54"/>
  <c r="L31" i="54" s="1"/>
  <c r="N31" i="54" s="1"/>
  <c r="P44" i="89"/>
  <c r="X44" i="89" s="1"/>
  <c r="X41" i="89"/>
  <c r="Z41" i="89" s="1"/>
  <c r="T128" i="69"/>
  <c r="Z124" i="69"/>
  <c r="V124" i="69"/>
  <c r="P31" i="6"/>
  <c r="X26" i="6"/>
  <c r="D36" i="25"/>
  <c r="L31" i="25"/>
  <c r="P227" i="18"/>
  <c r="X223" i="18"/>
  <c r="Z223" i="18" s="1"/>
  <c r="R223" i="18"/>
  <c r="D86" i="85"/>
  <c r="L83" i="85"/>
  <c r="N83" i="85" s="1"/>
  <c r="F83" i="85"/>
  <c r="H96" i="71"/>
  <c r="J93" i="71"/>
  <c r="H45" i="83"/>
  <c r="N42" i="83"/>
  <c r="P36" i="46"/>
  <c r="X31" i="46"/>
  <c r="H36" i="23"/>
  <c r="N36" i="23" s="1"/>
  <c r="N31" i="23"/>
  <c r="L39" i="82"/>
  <c r="D81" i="33"/>
  <c r="L78" i="33"/>
  <c r="N78" i="33" s="1"/>
  <c r="F78" i="33"/>
  <c r="D111" i="27"/>
  <c r="L108" i="27"/>
  <c r="N108" i="27" s="1"/>
  <c r="F108" i="27"/>
  <c r="D36" i="23"/>
  <c r="L31" i="23"/>
  <c r="T230" i="18"/>
  <c r="V227" i="18"/>
  <c r="Z31" i="32"/>
  <c r="T36" i="32"/>
  <c r="Z36" i="32" s="1"/>
  <c r="P36" i="28"/>
  <c r="X31" i="28"/>
  <c r="D36" i="11"/>
  <c r="L36" i="11" s="1"/>
  <c r="L31" i="11"/>
  <c r="T83" i="24"/>
  <c r="Z79" i="24"/>
  <c r="V79" i="24"/>
  <c r="T96" i="77"/>
  <c r="V93" i="77"/>
  <c r="D96" i="77"/>
  <c r="L93" i="77"/>
  <c r="F93" i="77"/>
  <c r="T203" i="15"/>
  <c r="Z199" i="15"/>
  <c r="V199" i="15"/>
  <c r="D33" i="75"/>
  <c r="L29" i="75"/>
  <c r="N29" i="75" s="1"/>
  <c r="F29" i="75"/>
  <c r="H210" i="12"/>
  <c r="J206" i="12"/>
  <c r="H36" i="16"/>
  <c r="N36" i="16" s="1"/>
  <c r="N31" i="16"/>
  <c r="D74" i="94"/>
  <c r="L71" i="94"/>
  <c r="N71" i="94" s="1"/>
  <c r="F71" i="94"/>
  <c r="H36" i="41"/>
  <c r="N36" i="41" s="1"/>
  <c r="N31" i="41"/>
  <c r="P63" i="56"/>
  <c r="X63" i="56" s="1"/>
  <c r="Z63" i="56" s="1"/>
  <c r="X60" i="56"/>
  <c r="Z60" i="56" s="1"/>
  <c r="T44" i="89"/>
  <c r="P95" i="42"/>
  <c r="X91" i="42"/>
  <c r="Z91" i="42" s="1"/>
  <c r="R91" i="42"/>
  <c r="T38" i="87"/>
  <c r="Z35" i="87"/>
  <c r="H128" i="69"/>
  <c r="N124" i="69"/>
  <c r="J124" i="69"/>
  <c r="Z31" i="98"/>
  <c r="T36" i="98"/>
  <c r="Z36" i="98" s="1"/>
  <c r="N199" i="15"/>
  <c r="H203" i="15"/>
  <c r="J199" i="15"/>
  <c r="N56" i="59"/>
  <c r="D36" i="97"/>
  <c r="L31" i="97"/>
  <c r="D36" i="35"/>
  <c r="L31" i="35"/>
  <c r="X31" i="4"/>
  <c r="H36" i="7"/>
  <c r="N36" i="7" s="1"/>
  <c r="N31" i="7"/>
  <c r="T36" i="38"/>
  <c r="Z36" i="38" s="1"/>
  <c r="Z31" i="38"/>
  <c r="X88" i="9"/>
  <c r="Z88" i="9" s="1"/>
  <c r="D67" i="73"/>
  <c r="L67" i="73" s="1"/>
  <c r="L64" i="73"/>
  <c r="N64" i="73" s="1"/>
  <c r="N39" i="65"/>
  <c r="T86" i="85"/>
  <c r="Z83" i="85"/>
  <c r="V83" i="85"/>
  <c r="D36" i="22"/>
  <c r="L31" i="22"/>
  <c r="T53" i="67"/>
  <c r="N46" i="60"/>
  <c r="H49" i="60"/>
  <c r="Z46" i="60"/>
  <c r="T49" i="60"/>
  <c r="X46" i="60"/>
  <c r="N31" i="92"/>
  <c r="P36" i="38"/>
  <c r="X31" i="38"/>
  <c r="P79" i="91"/>
  <c r="R76" i="91"/>
  <c r="T36" i="17"/>
  <c r="Z36" i="17" s="1"/>
  <c r="Z31" i="17"/>
  <c r="P93" i="77"/>
  <c r="X89" i="77"/>
  <c r="Z89" i="77" s="1"/>
  <c r="R89" i="77"/>
  <c r="T108" i="39"/>
  <c r="V105" i="39"/>
  <c r="P72" i="76"/>
  <c r="X68" i="76"/>
  <c r="Z68" i="76" s="1"/>
  <c r="R68" i="76"/>
  <c r="T147" i="30"/>
  <c r="V144" i="30"/>
  <c r="X31" i="16"/>
  <c r="D36" i="46"/>
  <c r="L31" i="46"/>
  <c r="N36" i="14"/>
  <c r="L36" i="14"/>
  <c r="D31" i="6"/>
  <c r="L31" i="6" s="1"/>
  <c r="N31" i="6" s="1"/>
  <c r="L26" i="6"/>
  <c r="D36" i="53"/>
  <c r="L31" i="53"/>
  <c r="P83" i="24"/>
  <c r="X79" i="24"/>
  <c r="R79" i="24"/>
  <c r="P36" i="37"/>
  <c r="X31" i="37"/>
  <c r="X34" i="88"/>
  <c r="P37" i="88"/>
  <c r="P36" i="14"/>
  <c r="X31" i="14"/>
  <c r="H36" i="99"/>
  <c r="N36" i="99" s="1"/>
  <c r="N31" i="99"/>
  <c r="X38" i="87"/>
  <c r="X31" i="50"/>
  <c r="L36" i="35" l="1"/>
  <c r="X36" i="4"/>
  <c r="X36" i="14"/>
  <c r="L36" i="8"/>
  <c r="X36" i="28"/>
  <c r="X36" i="37"/>
  <c r="X36" i="10"/>
  <c r="X36" i="29"/>
  <c r="X36" i="7"/>
  <c r="X36" i="8"/>
  <c r="L36" i="46"/>
  <c r="X36" i="16"/>
  <c r="X36" i="23"/>
  <c r="L36" i="97"/>
  <c r="X36" i="34"/>
  <c r="L36" i="41"/>
  <c r="X36" i="46"/>
  <c r="X36" i="44"/>
  <c r="X36" i="5"/>
  <c r="L36" i="34"/>
  <c r="X36" i="38"/>
  <c r="L36" i="31"/>
  <c r="L36" i="26"/>
  <c r="L36" i="5"/>
  <c r="L36" i="29"/>
  <c r="L36" i="25"/>
  <c r="X36" i="11"/>
  <c r="X36" i="13"/>
  <c r="L36" i="37"/>
  <c r="X36" i="40"/>
  <c r="L36" i="99"/>
  <c r="X36" i="49"/>
  <c r="T206" i="15"/>
  <c r="V203" i="15"/>
  <c r="J96" i="71"/>
  <c r="X35" i="84"/>
  <c r="Z35" i="84" s="1"/>
  <c r="P38" i="84"/>
  <c r="X38" i="84" s="1"/>
  <c r="V90" i="45"/>
  <c r="T110" i="36"/>
  <c r="V107" i="36"/>
  <c r="D147" i="30"/>
  <c r="L144" i="30"/>
  <c r="N144" i="30" s="1"/>
  <c r="F144" i="30"/>
  <c r="Z49" i="74"/>
  <c r="L71" i="79"/>
  <c r="F71" i="79"/>
  <c r="L79" i="91"/>
  <c r="N79" i="91" s="1"/>
  <c r="F79" i="91"/>
  <c r="R110" i="36"/>
  <c r="J111" i="27"/>
  <c r="X74" i="94"/>
  <c r="R74" i="94"/>
  <c r="X90" i="45"/>
  <c r="Z90" i="45" s="1"/>
  <c r="R90" i="45"/>
  <c r="X32" i="78"/>
  <c r="Z32" i="78" s="1"/>
  <c r="R32" i="78"/>
  <c r="X36" i="97"/>
  <c r="J110" i="36"/>
  <c r="D96" i="71"/>
  <c r="L93" i="71"/>
  <c r="N93" i="71" s="1"/>
  <c r="F93" i="71"/>
  <c r="P96" i="77"/>
  <c r="X93" i="77"/>
  <c r="Z93" i="77" s="1"/>
  <c r="R93" i="77"/>
  <c r="X36" i="53"/>
  <c r="H213" i="12"/>
  <c r="J210" i="12"/>
  <c r="T86" i="24"/>
  <c r="V83" i="24"/>
  <c r="L111" i="27"/>
  <c r="N111" i="27" s="1"/>
  <c r="F111" i="27"/>
  <c r="X36" i="50"/>
  <c r="X108" i="39"/>
  <c r="R108" i="39"/>
  <c r="X36" i="98"/>
  <c r="L67" i="86"/>
  <c r="N67" i="86" s="1"/>
  <c r="D206" i="15"/>
  <c r="L203" i="15"/>
  <c r="F203" i="15"/>
  <c r="P111" i="66"/>
  <c r="X108" i="66"/>
  <c r="R108" i="66"/>
  <c r="P96" i="71"/>
  <c r="X93" i="71"/>
  <c r="R93" i="71"/>
  <c r="P53" i="67"/>
  <c r="X53" i="67" s="1"/>
  <c r="Z53" i="67" s="1"/>
  <c r="X50" i="67"/>
  <c r="Z50" i="67" s="1"/>
  <c r="P213" i="12"/>
  <c r="X210" i="12"/>
  <c r="R210" i="12"/>
  <c r="D84" i="93"/>
  <c r="L81" i="93"/>
  <c r="N81" i="93" s="1"/>
  <c r="F81" i="93"/>
  <c r="X36" i="99"/>
  <c r="X36" i="35"/>
  <c r="D213" i="12"/>
  <c r="L210" i="12"/>
  <c r="N210" i="12" s="1"/>
  <c r="F210" i="12"/>
  <c r="F90" i="45"/>
  <c r="N87" i="45"/>
  <c r="H90" i="45"/>
  <c r="L90" i="45" s="1"/>
  <c r="J87" i="45"/>
  <c r="X39" i="72"/>
  <c r="L45" i="83"/>
  <c r="L110" i="36"/>
  <c r="N110" i="36" s="1"/>
  <c r="F110" i="36"/>
  <c r="X86" i="85"/>
  <c r="R86" i="85"/>
  <c r="L36" i="22"/>
  <c r="P98" i="42"/>
  <c r="X95" i="42"/>
  <c r="Z95" i="42" s="1"/>
  <c r="R95" i="42"/>
  <c r="X31" i="6"/>
  <c r="L36" i="49"/>
  <c r="L62" i="96"/>
  <c r="F62" i="96"/>
  <c r="P80" i="64"/>
  <c r="X77" i="64"/>
  <c r="R77" i="64"/>
  <c r="P147" i="30"/>
  <c r="X144" i="30"/>
  <c r="Z144" i="30" s="1"/>
  <c r="R144" i="30"/>
  <c r="L51" i="61"/>
  <c r="N51" i="61" s="1"/>
  <c r="L77" i="64"/>
  <c r="D80" i="64"/>
  <c r="F77" i="64"/>
  <c r="V98" i="42"/>
  <c r="L36" i="32"/>
  <c r="L36" i="28"/>
  <c r="L36" i="38"/>
  <c r="R85" i="21"/>
  <c r="T111" i="66"/>
  <c r="Z108" i="66"/>
  <c r="V108" i="66"/>
  <c r="Z45" i="83"/>
  <c r="X36" i="26"/>
  <c r="X36" i="22"/>
  <c r="P86" i="24"/>
  <c r="X83" i="24"/>
  <c r="Z83" i="24" s="1"/>
  <c r="R83" i="24"/>
  <c r="P75" i="76"/>
  <c r="X72" i="76"/>
  <c r="Z72" i="76" s="1"/>
  <c r="R72" i="76"/>
  <c r="Z49" i="60"/>
  <c r="X49" i="60"/>
  <c r="F96" i="77"/>
  <c r="L86" i="85"/>
  <c r="N86" i="85" s="1"/>
  <c r="F86" i="85"/>
  <c r="Z67" i="86"/>
  <c r="H230" i="18"/>
  <c r="J227" i="18"/>
  <c r="X36" i="32"/>
  <c r="L98" i="42"/>
  <c r="N98" i="42" s="1"/>
  <c r="F98" i="42"/>
  <c r="X81" i="33"/>
  <c r="R81" i="33"/>
  <c r="H96" i="51"/>
  <c r="J93" i="51"/>
  <c r="D131" i="69"/>
  <c r="L128" i="69"/>
  <c r="N128" i="69" s="1"/>
  <c r="F128" i="69"/>
  <c r="Z38" i="84"/>
  <c r="V38" i="84"/>
  <c r="H38" i="84"/>
  <c r="H86" i="24"/>
  <c r="N83" i="24"/>
  <c r="J83" i="24"/>
  <c r="X36" i="19"/>
  <c r="N77" i="64"/>
  <c r="H80" i="64"/>
  <c r="J77" i="64"/>
  <c r="L36" i="7"/>
  <c r="H85" i="21"/>
  <c r="N82" i="21"/>
  <c r="J82" i="21"/>
  <c r="H78" i="70"/>
  <c r="J75" i="70"/>
  <c r="Z31" i="54"/>
  <c r="X31" i="54"/>
  <c r="N93" i="77"/>
  <c r="H96" i="77"/>
  <c r="L96" i="77" s="1"/>
  <c r="J93" i="77"/>
  <c r="Z39" i="80"/>
  <c r="V230" i="18"/>
  <c r="L81" i="33"/>
  <c r="F81" i="33"/>
  <c r="L36" i="16"/>
  <c r="T79" i="91"/>
  <c r="X79" i="91" s="1"/>
  <c r="Z76" i="91"/>
  <c r="V76" i="91"/>
  <c r="V62" i="48"/>
  <c r="X36" i="31"/>
  <c r="X81" i="93"/>
  <c r="Z81" i="93" s="1"/>
  <c r="P84" i="93"/>
  <c r="R81" i="93"/>
  <c r="T84" i="93"/>
  <c r="V81" i="93"/>
  <c r="N81" i="33"/>
  <c r="J81" i="33"/>
  <c r="P78" i="70"/>
  <c r="X75" i="70"/>
  <c r="Z75" i="70" s="1"/>
  <c r="R75" i="70"/>
  <c r="L35" i="84"/>
  <c r="N35" i="84" s="1"/>
  <c r="P96" i="51"/>
  <c r="X93" i="51"/>
  <c r="R93" i="51"/>
  <c r="N71" i="79"/>
  <c r="J79" i="91"/>
  <c r="Z31" i="6"/>
  <c r="T213" i="12"/>
  <c r="Z210" i="12"/>
  <c r="V210" i="12"/>
  <c r="N74" i="94"/>
  <c r="Z67" i="58"/>
  <c r="X62" i="96"/>
  <c r="R62" i="96"/>
  <c r="Z91" i="9"/>
  <c r="N73" i="81"/>
  <c r="D96" i="51"/>
  <c r="L93" i="51"/>
  <c r="N93" i="51" s="1"/>
  <c r="F93" i="51"/>
  <c r="X37" i="88"/>
  <c r="Z37" i="88" s="1"/>
  <c r="L36" i="53"/>
  <c r="R79" i="91"/>
  <c r="N49" i="60"/>
  <c r="Z86" i="85"/>
  <c r="V86" i="85"/>
  <c r="H131" i="69"/>
  <c r="J128" i="69"/>
  <c r="L74" i="94"/>
  <c r="F74" i="94"/>
  <c r="D36" i="75"/>
  <c r="L33" i="75"/>
  <c r="N33" i="75" s="1"/>
  <c r="F33" i="75"/>
  <c r="N45" i="83"/>
  <c r="T131" i="69"/>
  <c r="Z128" i="69"/>
  <c r="V128" i="69"/>
  <c r="N36" i="10"/>
  <c r="L36" i="10"/>
  <c r="D86" i="24"/>
  <c r="L83" i="24"/>
  <c r="F83" i="24"/>
  <c r="D230" i="18"/>
  <c r="L227" i="18"/>
  <c r="N227" i="18" s="1"/>
  <c r="F227" i="18"/>
  <c r="X51" i="90"/>
  <c r="Z51" i="90" s="1"/>
  <c r="P71" i="79"/>
  <c r="X68" i="79"/>
  <c r="R68" i="79"/>
  <c r="L36" i="17"/>
  <c r="J84" i="93"/>
  <c r="X36" i="25"/>
  <c r="L38" i="84"/>
  <c r="H147" i="30"/>
  <c r="J144" i="30"/>
  <c r="N67" i="73"/>
  <c r="J67" i="73"/>
  <c r="Z93" i="51"/>
  <c r="T96" i="51"/>
  <c r="V93" i="51"/>
  <c r="T36" i="75"/>
  <c r="V33" i="75"/>
  <c r="N39" i="82"/>
  <c r="X36" i="41"/>
  <c r="P131" i="69"/>
  <c r="X128" i="69"/>
  <c r="R128" i="69"/>
  <c r="X33" i="75"/>
  <c r="Z33" i="75" s="1"/>
  <c r="Z96" i="62"/>
  <c r="X96" i="62"/>
  <c r="X36" i="17"/>
  <c r="Z108" i="39"/>
  <c r="V108" i="39"/>
  <c r="X76" i="91"/>
  <c r="Z44" i="89"/>
  <c r="V96" i="77"/>
  <c r="L36" i="23"/>
  <c r="P230" i="18"/>
  <c r="X227" i="18"/>
  <c r="Z227" i="18" s="1"/>
  <c r="R227" i="18"/>
  <c r="H252" i="3"/>
  <c r="J247" i="3"/>
  <c r="D85" i="21"/>
  <c r="L82" i="21"/>
  <c r="F82" i="21"/>
  <c r="X252" i="3"/>
  <c r="R252" i="3"/>
  <c r="H53" i="67"/>
  <c r="T111" i="27"/>
  <c r="Z108" i="27"/>
  <c r="V108" i="27"/>
  <c r="P111" i="27"/>
  <c r="X108" i="27"/>
  <c r="R108" i="27"/>
  <c r="L73" i="81"/>
  <c r="L36" i="52"/>
  <c r="Z77" i="64"/>
  <c r="T80" i="64"/>
  <c r="V77" i="64"/>
  <c r="L62" i="48"/>
  <c r="F62" i="48"/>
  <c r="L49" i="60"/>
  <c r="Z74" i="94"/>
  <c r="D75" i="76"/>
  <c r="L72" i="76"/>
  <c r="N72" i="76" s="1"/>
  <c r="F72" i="76"/>
  <c r="L36" i="40"/>
  <c r="T96" i="71"/>
  <c r="Z93" i="71"/>
  <c r="V93" i="71"/>
  <c r="D111" i="66"/>
  <c r="L108" i="66"/>
  <c r="F108" i="66"/>
  <c r="Z62" i="96"/>
  <c r="V62" i="96"/>
  <c r="T252" i="3"/>
  <c r="Z247" i="3"/>
  <c r="V247" i="3"/>
  <c r="T67" i="73"/>
  <c r="X67" i="73" s="1"/>
  <c r="Z64" i="73"/>
  <c r="V64" i="73"/>
  <c r="N62" i="48"/>
  <c r="J62" i="48"/>
  <c r="J98" i="42"/>
  <c r="X56" i="59"/>
  <c r="Z56" i="59" s="1"/>
  <c r="H36" i="75"/>
  <c r="J33" i="75"/>
  <c r="N62" i="96"/>
  <c r="J62" i="96"/>
  <c r="N108" i="66"/>
  <c r="H111" i="66"/>
  <c r="J108" i="66"/>
  <c r="L36" i="44"/>
  <c r="D53" i="67"/>
  <c r="L50" i="67"/>
  <c r="N50" i="67" s="1"/>
  <c r="X36" i="75"/>
  <c r="R36" i="75"/>
  <c r="T85" i="21"/>
  <c r="X85" i="21" s="1"/>
  <c r="Z82" i="21"/>
  <c r="V82" i="21"/>
  <c r="V147" i="30"/>
  <c r="H206" i="15"/>
  <c r="N203" i="15"/>
  <c r="J203" i="15"/>
  <c r="Z38" i="87"/>
  <c r="L37" i="55"/>
  <c r="N37" i="55" s="1"/>
  <c r="L36" i="98"/>
  <c r="Z51" i="61"/>
  <c r="Z81" i="33"/>
  <c r="V81" i="33"/>
  <c r="D78" i="70"/>
  <c r="L75" i="70"/>
  <c r="N75" i="70" s="1"/>
  <c r="F75" i="70"/>
  <c r="F108" i="39"/>
  <c r="T71" i="79"/>
  <c r="Z68" i="79"/>
  <c r="D252" i="3"/>
  <c r="L247" i="3"/>
  <c r="N247" i="3" s="1"/>
  <c r="F247" i="3"/>
  <c r="H108" i="39"/>
  <c r="N105" i="39"/>
  <c r="J105" i="39"/>
  <c r="X203" i="15"/>
  <c r="Z203" i="15" s="1"/>
  <c r="P206" i="15"/>
  <c r="R203" i="15"/>
  <c r="J32" i="78"/>
  <c r="L32" i="78"/>
  <c r="N32" i="78" s="1"/>
  <c r="X62" i="48"/>
  <c r="Z62" i="48" s="1"/>
  <c r="R62" i="48"/>
  <c r="X107" i="36"/>
  <c r="Z107" i="36" s="1"/>
  <c r="N85" i="21" l="1"/>
  <c r="J85" i="21"/>
  <c r="J86" i="24"/>
  <c r="L206" i="15"/>
  <c r="N206" i="15" s="1"/>
  <c r="F206" i="15"/>
  <c r="L96" i="71"/>
  <c r="N96" i="71" s="1"/>
  <c r="F96" i="71"/>
  <c r="L147" i="30"/>
  <c r="N147" i="30" s="1"/>
  <c r="F147" i="30"/>
  <c r="X206" i="15"/>
  <c r="R206" i="15"/>
  <c r="J206" i="15"/>
  <c r="V111" i="27"/>
  <c r="X84" i="93"/>
  <c r="R84" i="93"/>
  <c r="L53" i="67"/>
  <c r="N53" i="67" s="1"/>
  <c r="J36" i="75"/>
  <c r="L75" i="76"/>
  <c r="N75" i="76" s="1"/>
  <c r="F75" i="76"/>
  <c r="L96" i="51"/>
  <c r="F96" i="51"/>
  <c r="X78" i="70"/>
  <c r="Z78" i="70" s="1"/>
  <c r="R78" i="70"/>
  <c r="N38" i="84"/>
  <c r="X86" i="24"/>
  <c r="R86" i="24"/>
  <c r="L80" i="64"/>
  <c r="F80" i="64"/>
  <c r="X98" i="42"/>
  <c r="Z98" i="42" s="1"/>
  <c r="R98" i="42"/>
  <c r="X96" i="77"/>
  <c r="Z96" i="77" s="1"/>
  <c r="R96" i="77"/>
  <c r="L85" i="21"/>
  <c r="F85" i="21"/>
  <c r="L36" i="75"/>
  <c r="N36" i="75" s="1"/>
  <c r="F36" i="75"/>
  <c r="Z67" i="73"/>
  <c r="V67" i="73"/>
  <c r="L111" i="66"/>
  <c r="F111" i="66"/>
  <c r="J252" i="3"/>
  <c r="N96" i="51"/>
  <c r="J96" i="51"/>
  <c r="J230" i="18"/>
  <c r="X80" i="64"/>
  <c r="R80" i="64"/>
  <c r="L84" i="93"/>
  <c r="N84" i="93" s="1"/>
  <c r="F84" i="93"/>
  <c r="X96" i="71"/>
  <c r="Z96" i="71" s="1"/>
  <c r="R96" i="71"/>
  <c r="Z86" i="24"/>
  <c r="V86" i="24"/>
  <c r="X71" i="79"/>
  <c r="Z71" i="79" s="1"/>
  <c r="R71" i="79"/>
  <c r="N80" i="64"/>
  <c r="J80" i="64"/>
  <c r="V110" i="36"/>
  <c r="J108" i="39"/>
  <c r="J131" i="69"/>
  <c r="N111" i="66"/>
  <c r="J111" i="66"/>
  <c r="Z36" i="75"/>
  <c r="V36" i="75"/>
  <c r="J147" i="30"/>
  <c r="L86" i="24"/>
  <c r="N86" i="24" s="1"/>
  <c r="F86" i="24"/>
  <c r="Z131" i="69"/>
  <c r="V131" i="69"/>
  <c r="Z85" i="21"/>
  <c r="V85" i="21"/>
  <c r="Z252" i="3"/>
  <c r="V252" i="3"/>
  <c r="V96" i="71"/>
  <c r="X111" i="27"/>
  <c r="Z111" i="27" s="1"/>
  <c r="R111" i="27"/>
  <c r="X230" i="18"/>
  <c r="Z230" i="18" s="1"/>
  <c r="R230" i="18"/>
  <c r="V96" i="51"/>
  <c r="X96" i="51"/>
  <c r="Z96" i="51" s="1"/>
  <c r="R96" i="51"/>
  <c r="N78" i="70"/>
  <c r="J78" i="70"/>
  <c r="L213" i="12"/>
  <c r="N213" i="12" s="1"/>
  <c r="F213" i="12"/>
  <c r="X213" i="12"/>
  <c r="R213" i="12"/>
  <c r="X111" i="66"/>
  <c r="R111" i="66"/>
  <c r="J213" i="12"/>
  <c r="X110" i="36"/>
  <c r="Z110" i="36" s="1"/>
  <c r="L108" i="39"/>
  <c r="N108" i="39" s="1"/>
  <c r="L252" i="3"/>
  <c r="N252" i="3" s="1"/>
  <c r="F252" i="3"/>
  <c r="L78" i="70"/>
  <c r="F78" i="70"/>
  <c r="X131" i="69"/>
  <c r="R131" i="69"/>
  <c r="Z213" i="12"/>
  <c r="V213" i="12"/>
  <c r="Z84" i="93"/>
  <c r="V84" i="93"/>
  <c r="X75" i="76"/>
  <c r="Z75" i="76" s="1"/>
  <c r="R75" i="76"/>
  <c r="Z206" i="15"/>
  <c r="V206" i="15"/>
  <c r="Z80" i="64"/>
  <c r="V80" i="64"/>
  <c r="L230" i="18"/>
  <c r="N230" i="18" s="1"/>
  <c r="F230" i="18"/>
  <c r="Z79" i="91"/>
  <c r="V79" i="91"/>
  <c r="N96" i="77"/>
  <c r="J96" i="77"/>
  <c r="L131" i="69"/>
  <c r="N131" i="69" s="1"/>
  <c r="F131" i="69"/>
  <c r="Z111" i="66"/>
  <c r="V111" i="66"/>
  <c r="X147" i="30"/>
  <c r="Z147" i="30" s="1"/>
  <c r="R147" i="30"/>
  <c r="N90" i="45"/>
  <c r="J90" i="45"/>
</calcChain>
</file>

<file path=xl/sharedStrings.xml><?xml version="1.0" encoding="utf-8"?>
<sst xmlns="http://schemas.openxmlformats.org/spreadsheetml/2006/main" count="2844" uniqueCount="314">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</sst>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0" fillId="0" borderId="0" xfId="3" applyNumberFormat="1" applyFont="1" applyFill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49" fontId="2" fillId="0" borderId="0" xfId="0" applyNumberFormat="1" applyFont="1" applyFill="1"/>
    <xf numFmtId="0" fontId="3" fillId="0" borderId="0" xfId="0" applyFont="1"/>
    <xf numFmtId="0" fontId="2" fillId="0" borderId="0" xfId="0" applyFont="1" applyFill="1" applyBorder="1"/>
    <xf numFmtId="164" fontId="2" fillId="0" borderId="0" xfId="1" applyNumberFormat="1" applyFont="1" applyFill="1" applyAlignment="1">
      <alignment horizontal="centerContinuous"/>
    </xf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Continuous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Border="1"/>
    <xf numFmtId="0" fontId="5" fillId="0" borderId="0" xfId="0" applyFont="1" applyFill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80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5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6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80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57"/>
  <sheetViews>
    <sheetView tabSelected="1" zoomScale="80" workbookViewId="0">
      <pane xSplit="3" ySplit="10" topLeftCell="D226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2488533.1399999997</v>
      </c>
      <c r="E12" s="4"/>
      <c r="F12" s="12"/>
      <c r="G12" s="4"/>
      <c r="H12" s="4">
        <f>SUM(OSRRefH13x_0)</f>
        <v>2210992.2500000005</v>
      </c>
      <c r="I12" s="4"/>
      <c r="J12" s="12"/>
      <c r="K12" s="4"/>
      <c r="L12" s="4">
        <f t="shared" ref="L12:L92" si="0">+D12-H12</f>
        <v>277540.8899999992</v>
      </c>
      <c r="M12" s="4"/>
      <c r="N12" s="12">
        <f t="shared" ref="N12:N92" si="1">IF(H12=0,0,L12/H12)</f>
        <v>0.12552775343287573</v>
      </c>
      <c r="O12" s="10"/>
      <c r="P12" s="4">
        <f>SUM(OSRRefP13x_0)</f>
        <v>2992682.3200000003</v>
      </c>
      <c r="Q12" s="4"/>
      <c r="R12" s="12"/>
      <c r="S12" s="4"/>
      <c r="T12" s="4">
        <f>SUM(OSRRefT13x_0)</f>
        <v>2687900.4</v>
      </c>
      <c r="U12" s="4"/>
      <c r="V12" s="12"/>
      <c r="W12" s="4"/>
      <c r="X12" s="4">
        <f t="shared" ref="X12:X92" si="2">+P12-T12</f>
        <v>304781.92000000039</v>
      </c>
      <c r="Y12" s="4"/>
      <c r="Z12" s="12">
        <f t="shared" ref="Z12:Z92" si="3">IF(T12=0,0,X12/T12)</f>
        <v>0.11339033246916455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--1520862.77</f>
        <v>1520862.77</v>
      </c>
      <c r="E13" s="2"/>
      <c r="F13" s="19"/>
      <c r="G13" s="2"/>
      <c r="H13" s="2">
        <f>-18033.67</f>
        <v>-18033.669999999998</v>
      </c>
      <c r="I13" s="2"/>
      <c r="J13" s="19"/>
      <c r="K13" s="2"/>
      <c r="L13" s="2">
        <f t="shared" si="0"/>
        <v>1538896.44</v>
      </c>
      <c r="M13" s="2"/>
      <c r="N13" s="19">
        <f t="shared" si="1"/>
        <v>-85.334623512573984</v>
      </c>
      <c r="O13" s="11"/>
      <c r="P13" s="2">
        <f>--1790867.36</f>
        <v>1790867.36</v>
      </c>
      <c r="Q13" s="2"/>
      <c r="R13" s="19"/>
      <c r="S13" s="2"/>
      <c r="T13" s="2">
        <f>-29128.04</f>
        <v>-29128.04</v>
      </c>
      <c r="U13" s="2"/>
      <c r="V13" s="19"/>
      <c r="W13" s="2"/>
      <c r="X13" s="2">
        <f t="shared" si="2"/>
        <v>1819995.4000000001</v>
      </c>
      <c r="Y13" s="2"/>
      <c r="Z13" s="19">
        <f t="shared" si="3"/>
        <v>-62.482590658348457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--572249.47</f>
        <v>572249.47</v>
      </c>
      <c r="I14" s="2"/>
      <c r="J14" s="19"/>
      <c r="K14" s="2"/>
      <c r="L14" s="2">
        <f t="shared" si="0"/>
        <v>-572249.47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--584197.32</f>
        <v>584197.31999999995</v>
      </c>
      <c r="U14" s="2"/>
      <c r="V14" s="19"/>
      <c r="W14" s="2"/>
      <c r="X14" s="2">
        <f t="shared" si="2"/>
        <v>-584197.31999999995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--265582.82</f>
        <v>265582.82</v>
      </c>
      <c r="I15" s="2"/>
      <c r="J15" s="19"/>
      <c r="K15" s="2"/>
      <c r="L15" s="2">
        <f t="shared" si="0"/>
        <v>-265582.82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--278612.16</f>
        <v>278612.15999999997</v>
      </c>
      <c r="U15" s="2"/>
      <c r="V15" s="19"/>
      <c r="W15" s="2"/>
      <c r="X15" s="2">
        <f t="shared" si="2"/>
        <v>-278612.15999999997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>
        <f>--236.56</f>
        <v>236.56</v>
      </c>
      <c r="U21" s="2"/>
      <c r="V21" s="19"/>
      <c r="W21" s="2"/>
      <c r="X21" s="2">
        <f t="shared" si="2"/>
        <v>-236.56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--20247.89</f>
        <v>20247.89</v>
      </c>
      <c r="I22" s="2"/>
      <c r="J22" s="19"/>
      <c r="K22" s="2"/>
      <c r="L22" s="2">
        <f t="shared" si="0"/>
        <v>-20247.89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--21901.06</f>
        <v>21901.06</v>
      </c>
      <c r="U22" s="2"/>
      <c r="V22" s="19"/>
      <c r="W22" s="2"/>
      <c r="X22" s="2">
        <f t="shared" si="2"/>
        <v>-21901.06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--9671.25</f>
        <v>9671.25</v>
      </c>
      <c r="I23" s="2"/>
      <c r="J23" s="19"/>
      <c r="K23" s="2"/>
      <c r="L23" s="2">
        <f t="shared" si="0"/>
        <v>-9671.25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--9691.1</f>
        <v>9691.1</v>
      </c>
      <c r="U23" s="2"/>
      <c r="V23" s="19"/>
      <c r="W23" s="2"/>
      <c r="X23" s="2">
        <f t="shared" si="2"/>
        <v>-9691.1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--532.51</f>
        <v>532.51</v>
      </c>
      <c r="I24" s="2"/>
      <c r="J24" s="19"/>
      <c r="K24" s="2"/>
      <c r="L24" s="2">
        <f t="shared" si="0"/>
        <v>-532.51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--552.26</f>
        <v>552.26</v>
      </c>
      <c r="U24" s="2"/>
      <c r="V24" s="19"/>
      <c r="W24" s="2"/>
      <c r="X24" s="2">
        <f t="shared" si="2"/>
        <v>-552.26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>--88.2</f>
        <v>88.2</v>
      </c>
      <c r="I25" s="2"/>
      <c r="J25" s="19"/>
      <c r="K25" s="2"/>
      <c r="L25" s="2">
        <f t="shared" si="0"/>
        <v>-88.2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--88.2</f>
        <v>88.2</v>
      </c>
      <c r="U25" s="2"/>
      <c r="V25" s="19"/>
      <c r="W25" s="2"/>
      <c r="X25" s="2">
        <f t="shared" si="2"/>
        <v>-88.2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--177286.09</f>
        <v>177286.09</v>
      </c>
      <c r="I27" s="2"/>
      <c r="J27" s="19"/>
      <c r="K27" s="2"/>
      <c r="L27" s="2">
        <f t="shared" si="0"/>
        <v>-177286.09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--249578.35</f>
        <v>249578.35</v>
      </c>
      <c r="U27" s="2"/>
      <c r="V27" s="19"/>
      <c r="W27" s="2"/>
      <c r="X27" s="2">
        <f t="shared" si="2"/>
        <v>-249578.35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--82120.65</f>
        <v>82120.649999999994</v>
      </c>
      <c r="I28" s="2"/>
      <c r="J28" s="19"/>
      <c r="K28" s="2"/>
      <c r="L28" s="2">
        <f t="shared" si="0"/>
        <v>-82120.649999999994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--103309.56</f>
        <v>103309.56</v>
      </c>
      <c r="U28" s="2"/>
      <c r="V28" s="19"/>
      <c r="W28" s="2"/>
      <c r="X28" s="2">
        <f t="shared" si="2"/>
        <v>-103309.56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--30421.14</f>
        <v>30421.14</v>
      </c>
      <c r="I29" s="2"/>
      <c r="J29" s="19"/>
      <c r="K29" s="2"/>
      <c r="L29" s="2">
        <f t="shared" si="0"/>
        <v>-30421.14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--39925.04</f>
        <v>39925.040000000001</v>
      </c>
      <c r="U29" s="2"/>
      <c r="V29" s="19"/>
      <c r="W29" s="2"/>
      <c r="X29" s="2">
        <f t="shared" si="2"/>
        <v>-39925.040000000001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--6768.27</f>
        <v>6768.27</v>
      </c>
      <c r="I30" s="2"/>
      <c r="J30" s="19"/>
      <c r="K30" s="2"/>
      <c r="L30" s="2">
        <f t="shared" si="0"/>
        <v>-6768.27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--6985.63</f>
        <v>6985.63</v>
      </c>
      <c r="U30" s="2"/>
      <c r="V30" s="19"/>
      <c r="W30" s="2"/>
      <c r="X30" s="2">
        <f t="shared" si="2"/>
        <v>-6985.63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--6568.52</f>
        <v>6568.52</v>
      </c>
      <c r="I31" s="2"/>
      <c r="J31" s="19"/>
      <c r="K31" s="2"/>
      <c r="L31" s="2">
        <f t="shared" si="0"/>
        <v>-6568.52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--8369.2</f>
        <v>8369.2000000000007</v>
      </c>
      <c r="U31" s="2"/>
      <c r="V31" s="19"/>
      <c r="W31" s="2"/>
      <c r="X31" s="2">
        <f t="shared" si="2"/>
        <v>-8369.2000000000007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--46004.35</f>
        <v>46004.35</v>
      </c>
      <c r="I32" s="2"/>
      <c r="J32" s="19"/>
      <c r="K32" s="2"/>
      <c r="L32" s="2">
        <f t="shared" si="0"/>
        <v>-46004.35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--89431.08</f>
        <v>89431.08</v>
      </c>
      <c r="U32" s="2"/>
      <c r="V32" s="19"/>
      <c r="W32" s="2"/>
      <c r="X32" s="2">
        <f t="shared" si="2"/>
        <v>-89431.08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--20639.51</f>
        <v>20639.509999999998</v>
      </c>
      <c r="E33" s="2"/>
      <c r="F33" s="19"/>
      <c r="G33" s="2"/>
      <c r="H33" s="2">
        <f>--2510.72</f>
        <v>2510.7199999999998</v>
      </c>
      <c r="I33" s="2"/>
      <c r="J33" s="19"/>
      <c r="K33" s="2"/>
      <c r="L33" s="2">
        <f t="shared" si="0"/>
        <v>18128.789999999997</v>
      </c>
      <c r="M33" s="2"/>
      <c r="N33" s="19">
        <f t="shared" si="1"/>
        <v>7.2205542633188884</v>
      </c>
      <c r="O33" s="11"/>
      <c r="P33" s="2">
        <f>--31270.44</f>
        <v>31270.44</v>
      </c>
      <c r="Q33" s="2"/>
      <c r="R33" s="19"/>
      <c r="S33" s="2"/>
      <c r="T33" s="2">
        <f>--2510.72</f>
        <v>2510.7199999999998</v>
      </c>
      <c r="U33" s="2"/>
      <c r="V33" s="19"/>
      <c r="W33" s="2"/>
      <c r="X33" s="2">
        <f t="shared" si="2"/>
        <v>28759.719999999998</v>
      </c>
      <c r="Y33" s="2"/>
      <c r="Z33" s="19">
        <f t="shared" si="3"/>
        <v>11.454769946469538</v>
      </c>
    </row>
    <row r="34" spans="1:26" s="24" customFormat="1" hidden="1" outlineLevel="1" x14ac:dyDescent="0.3">
      <c r="A34" s="44"/>
      <c r="B34" s="11" t="str">
        <f>CONCATENATE("          ", "4053", " - ", "TAXABLE SALES-FOOD")</f>
        <v xml:space="preserve">          4053 - TAXABLE SALES-FOOD</v>
      </c>
      <c r="C34" s="11"/>
      <c r="D34" s="2">
        <f>--384.19</f>
        <v>384.19</v>
      </c>
      <c r="E34" s="2"/>
      <c r="F34" s="19"/>
      <c r="G34" s="2"/>
      <c r="H34" s="2">
        <f>--140.01</f>
        <v>140.01</v>
      </c>
      <c r="I34" s="2"/>
      <c r="J34" s="19"/>
      <c r="K34" s="2"/>
      <c r="L34" s="2">
        <f t="shared" si="0"/>
        <v>244.18</v>
      </c>
      <c r="M34" s="2"/>
      <c r="N34" s="19">
        <f t="shared" si="1"/>
        <v>1.7440182844082568</v>
      </c>
      <c r="O34" s="11"/>
      <c r="P34" s="2">
        <f>--490.83</f>
        <v>490.83</v>
      </c>
      <c r="Q34" s="2"/>
      <c r="R34" s="19"/>
      <c r="S34" s="2"/>
      <c r="T34" s="2">
        <f>--339.9</f>
        <v>339.9</v>
      </c>
      <c r="U34" s="2"/>
      <c r="V34" s="19"/>
      <c r="W34" s="2"/>
      <c r="X34" s="2">
        <f t="shared" si="2"/>
        <v>150.93</v>
      </c>
      <c r="Y34" s="2"/>
      <c r="Z34" s="19">
        <f t="shared" si="3"/>
        <v>0.44404236540158876</v>
      </c>
    </row>
    <row r="35" spans="1:26" s="24" customFormat="1" hidden="1" outlineLevel="1" x14ac:dyDescent="0.3">
      <c r="A35" s="44"/>
      <c r="B35" s="11" t="str">
        <f>CONCATENATE("          ", "4058", " - ", "TAXABLE SALES-FOOD")</f>
        <v xml:space="preserve">          4058 - TAXABLE SALES-FOOD</v>
      </c>
      <c r="C35" s="11"/>
      <c r="D35" s="2">
        <f t="shared" ref="D35:D40" si="6">0</f>
        <v>0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ref="P35:P40" si="7">0</f>
        <v>0</v>
      </c>
      <c r="Q35" s="2"/>
      <c r="R35" s="19"/>
      <c r="S35" s="2"/>
      <c r="T35" s="2">
        <f>--974.91</f>
        <v>974.91</v>
      </c>
      <c r="U35" s="2"/>
      <c r="V35" s="19"/>
      <c r="W35" s="2"/>
      <c r="X35" s="2">
        <f t="shared" si="2"/>
        <v>-974.91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"4081", " - ", "TAXABLE SALES-ELECTRONICS")</f>
        <v xml:space="preserve">          4081 - TAXABLE SALES-ELECTRONICS</v>
      </c>
      <c r="C36" s="11"/>
      <c r="D36" s="2">
        <f t="shared" si="6"/>
        <v>0</v>
      </c>
      <c r="E36" s="2"/>
      <c r="F36" s="19"/>
      <c r="G36" s="2"/>
      <c r="H36" s="2">
        <f>--16305.86</f>
        <v>16305.86</v>
      </c>
      <c r="I36" s="2"/>
      <c r="J36" s="19"/>
      <c r="K36" s="2"/>
      <c r="L36" s="2">
        <f t="shared" si="0"/>
        <v>-16305.86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--37863.02</f>
        <v>37863.019999999997</v>
      </c>
      <c r="U36" s="2"/>
      <c r="V36" s="19"/>
      <c r="W36" s="2"/>
      <c r="X36" s="2">
        <f t="shared" si="2"/>
        <v>-37863.019999999997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"4082", " - ", "TAXABLE SALES-COMPUTER HARDWAR")</f>
        <v xml:space="preserve">          4082 - TAXABLE SALES-COMPUTER HARDWAR</v>
      </c>
      <c r="C37" s="11"/>
      <c r="D37" s="2">
        <f t="shared" si="6"/>
        <v>0</v>
      </c>
      <c r="E37" s="2"/>
      <c r="F37" s="19"/>
      <c r="G37" s="2"/>
      <c r="H37" s="2">
        <f>--403983.14</f>
        <v>403983.14</v>
      </c>
      <c r="I37" s="2"/>
      <c r="J37" s="19"/>
      <c r="K37" s="2"/>
      <c r="L37" s="2">
        <f t="shared" si="0"/>
        <v>-403983.14</v>
      </c>
      <c r="M37" s="2"/>
      <c r="N37" s="19">
        <f t="shared" si="1"/>
        <v>-1</v>
      </c>
      <c r="O37" s="11"/>
      <c r="P37" s="2">
        <f t="shared" si="7"/>
        <v>0</v>
      </c>
      <c r="Q37" s="2"/>
      <c r="R37" s="19"/>
      <c r="S37" s="2"/>
      <c r="T37" s="2">
        <f>--541212.01</f>
        <v>541212.01</v>
      </c>
      <c r="U37" s="2"/>
      <c r="V37" s="19"/>
      <c r="W37" s="2"/>
      <c r="X37" s="2">
        <f t="shared" si="2"/>
        <v>-541212.01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"4083", " - ", "TAXABLE SALES-COMPUTER EQUIPME")</f>
        <v xml:space="preserve">          4083 - TAXABLE SALES-COMPUTER EQUIPME</v>
      </c>
      <c r="C38" s="11"/>
      <c r="D38" s="2">
        <f t="shared" si="6"/>
        <v>0</v>
      </c>
      <c r="E38" s="2"/>
      <c r="F38" s="19"/>
      <c r="G38" s="2"/>
      <c r="H38" s="2">
        <f>--42925.21</f>
        <v>42925.21</v>
      </c>
      <c r="I38" s="2"/>
      <c r="J38" s="19"/>
      <c r="K38" s="2"/>
      <c r="L38" s="2">
        <f t="shared" si="0"/>
        <v>-42925.21</v>
      </c>
      <c r="M38" s="2"/>
      <c r="N38" s="19">
        <f t="shared" si="1"/>
        <v>-1</v>
      </c>
      <c r="O38" s="11"/>
      <c r="P38" s="2">
        <f t="shared" si="7"/>
        <v>0</v>
      </c>
      <c r="Q38" s="2"/>
      <c r="R38" s="19"/>
      <c r="S38" s="2"/>
      <c r="T38" s="2">
        <f>--49715.36</f>
        <v>49715.360000000001</v>
      </c>
      <c r="U38" s="2"/>
      <c r="V38" s="19"/>
      <c r="W38" s="2"/>
      <c r="X38" s="2">
        <f t="shared" si="2"/>
        <v>-49715.360000000001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"4085", " - ", "TAXABLE SALES-SOFTWARE")</f>
        <v xml:space="preserve">          4085 - TAXABLE SALES-SOFTWARE</v>
      </c>
      <c r="C39" s="11"/>
      <c r="D39" s="2">
        <f t="shared" si="6"/>
        <v>0</v>
      </c>
      <c r="E39" s="2"/>
      <c r="F39" s="19"/>
      <c r="G39" s="2"/>
      <c r="H39" s="2">
        <f>--129</f>
        <v>129</v>
      </c>
      <c r="I39" s="2"/>
      <c r="J39" s="19"/>
      <c r="K39" s="2"/>
      <c r="L39" s="2">
        <f t="shared" si="0"/>
        <v>-129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--129</f>
        <v>129</v>
      </c>
      <c r="U39" s="2"/>
      <c r="V39" s="19"/>
      <c r="W39" s="2"/>
      <c r="X39" s="2">
        <f t="shared" si="2"/>
        <v>-129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"4086", " - ", "TAXABLE SALES-COMPUTER SUPPLIE")</f>
        <v xml:space="preserve">          4086 - TAXABLE SALES-COMPUTER SUPPLIE</v>
      </c>
      <c r="C40" s="11"/>
      <c r="D40" s="2">
        <f t="shared" si="6"/>
        <v>0</v>
      </c>
      <c r="E40" s="2"/>
      <c r="F40" s="19"/>
      <c r="G40" s="2"/>
      <c r="H40" s="2">
        <f>--1308.27</f>
        <v>1308.27</v>
      </c>
      <c r="I40" s="2"/>
      <c r="J40" s="19"/>
      <c r="K40" s="2"/>
      <c r="L40" s="2">
        <f t="shared" si="0"/>
        <v>-1308.27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--27267.48</f>
        <v>27267.48</v>
      </c>
      <c r="U40" s="2"/>
      <c r="V40" s="19"/>
      <c r="W40" s="2"/>
      <c r="X40" s="2">
        <f t="shared" si="2"/>
        <v>-27267.48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"4100", " - ", "NON-TAXABLE SALES")</f>
        <v xml:space="preserve">          4100 - NON-TAXABLE SALES</v>
      </c>
      <c r="C41" s="11"/>
      <c r="D41" s="2">
        <f>--498108.59</f>
        <v>498108.59</v>
      </c>
      <c r="E41" s="2"/>
      <c r="F41" s="19"/>
      <c r="G41" s="2"/>
      <c r="H41" s="2">
        <f>--217221.03</f>
        <v>217221.03</v>
      </c>
      <c r="I41" s="2"/>
      <c r="J41" s="19"/>
      <c r="K41" s="2"/>
      <c r="L41" s="2">
        <f t="shared" si="0"/>
        <v>280887.56000000006</v>
      </c>
      <c r="M41" s="2"/>
      <c r="N41" s="19">
        <f t="shared" si="1"/>
        <v>1.2930956086526246</v>
      </c>
      <c r="O41" s="11"/>
      <c r="P41" s="2">
        <f>--723830.11</f>
        <v>723830.11</v>
      </c>
      <c r="Q41" s="2"/>
      <c r="R41" s="19"/>
      <c r="S41" s="2"/>
      <c r="T41" s="2">
        <f>--241230.33</f>
        <v>241230.33</v>
      </c>
      <c r="U41" s="2"/>
      <c r="V41" s="19"/>
      <c r="W41" s="2"/>
      <c r="X41" s="2">
        <f t="shared" si="2"/>
        <v>482599.78</v>
      </c>
      <c r="Y41" s="2"/>
      <c r="Z41" s="19">
        <f t="shared" si="3"/>
        <v>2.0005767102337422</v>
      </c>
    </row>
    <row r="42" spans="1:26" s="24" customFormat="1" hidden="1" outlineLevel="1" x14ac:dyDescent="0.3">
      <c r="A42" s="44"/>
      <c r="B42" s="11" t="str">
        <f>CONCATENATE("          ", "4101", " - ", "NON-TAXABLE SALES-NEW TEXT")</f>
        <v xml:space="preserve">          4101 - NON-TAXABLE SALES-NEW TEXT</v>
      </c>
      <c r="C42" s="11"/>
      <c r="D42" s="2">
        <f t="shared" ref="D42:D53" si="8">0</f>
        <v>0</v>
      </c>
      <c r="E42" s="2"/>
      <c r="F42" s="19"/>
      <c r="G42" s="2"/>
      <c r="H42" s="2">
        <f>--41238.82</f>
        <v>41238.82</v>
      </c>
      <c r="I42" s="2"/>
      <c r="J42" s="19"/>
      <c r="K42" s="2"/>
      <c r="L42" s="2">
        <f t="shared" si="0"/>
        <v>-41238.82</v>
      </c>
      <c r="M42" s="2"/>
      <c r="N42" s="19">
        <f t="shared" si="1"/>
        <v>-1</v>
      </c>
      <c r="O42" s="11"/>
      <c r="P42" s="2">
        <f t="shared" ref="P42:P53" si="9">0</f>
        <v>0</v>
      </c>
      <c r="Q42" s="2"/>
      <c r="R42" s="19"/>
      <c r="S42" s="2"/>
      <c r="T42" s="2">
        <f>--51580.68</f>
        <v>51580.68</v>
      </c>
      <c r="U42" s="2"/>
      <c r="V42" s="19"/>
      <c r="W42" s="2"/>
      <c r="X42" s="2">
        <f t="shared" si="2"/>
        <v>-51580.68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"4102", " - ", "NON-TAXABLE SALES-USED TEXT")</f>
        <v xml:space="preserve">          4102 - NON-TAXABLE SALES-USED TEXT</v>
      </c>
      <c r="C43" s="11"/>
      <c r="D43" s="2">
        <f t="shared" si="8"/>
        <v>0</v>
      </c>
      <c r="E43" s="2"/>
      <c r="F43" s="19"/>
      <c r="G43" s="2"/>
      <c r="H43" s="2">
        <f>--17373.3</f>
        <v>17373.3</v>
      </c>
      <c r="I43" s="2"/>
      <c r="J43" s="19"/>
      <c r="K43" s="2"/>
      <c r="L43" s="2">
        <f t="shared" si="0"/>
        <v>-17373.3</v>
      </c>
      <c r="M43" s="2"/>
      <c r="N43" s="19">
        <f t="shared" si="1"/>
        <v>-1</v>
      </c>
      <c r="O43" s="11"/>
      <c r="P43" s="2">
        <f t="shared" si="9"/>
        <v>0</v>
      </c>
      <c r="Q43" s="2"/>
      <c r="R43" s="19"/>
      <c r="S43" s="2"/>
      <c r="T43" s="2">
        <f>--21563.74</f>
        <v>21563.74</v>
      </c>
      <c r="U43" s="2"/>
      <c r="V43" s="19"/>
      <c r="W43" s="2"/>
      <c r="X43" s="2">
        <f t="shared" si="2"/>
        <v>-21563.74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"4104", " - ", "NON-TAXABLE SALES-DIGITAL TEXT")</f>
        <v xml:space="preserve">          4104 - NON-TAXABLE SALES-DIGITAL TEXT</v>
      </c>
      <c r="C44" s="11"/>
      <c r="D44" s="2">
        <f t="shared" si="8"/>
        <v>0</v>
      </c>
      <c r="E44" s="2"/>
      <c r="F44" s="19"/>
      <c r="G44" s="2"/>
      <c r="H44" s="2">
        <f>--205404.66</f>
        <v>205404.66</v>
      </c>
      <c r="I44" s="2"/>
      <c r="J44" s="19"/>
      <c r="K44" s="2"/>
      <c r="L44" s="2">
        <f t="shared" si="0"/>
        <v>-205404.66</v>
      </c>
      <c r="M44" s="2"/>
      <c r="N44" s="19">
        <f t="shared" si="1"/>
        <v>-1</v>
      </c>
      <c r="O44" s="11"/>
      <c r="P44" s="2">
        <f t="shared" si="9"/>
        <v>0</v>
      </c>
      <c r="Q44" s="2"/>
      <c r="R44" s="19"/>
      <c r="S44" s="2"/>
      <c r="T44" s="2">
        <f>--212890.18</f>
        <v>212890.18</v>
      </c>
      <c r="U44" s="2"/>
      <c r="V44" s="19"/>
      <c r="W44" s="2"/>
      <c r="X44" s="2">
        <f t="shared" si="2"/>
        <v>-212890.18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"4118", " - ", "NON-TAXABLE SALES-STUDY GUIDES")</f>
        <v xml:space="preserve">          4118 - NON-TAXABLE SALES-STUDY GUIDES</v>
      </c>
      <c r="C45" s="11"/>
      <c r="D45" s="2">
        <f t="shared" si="8"/>
        <v>0</v>
      </c>
      <c r="E45" s="2"/>
      <c r="F45" s="19"/>
      <c r="G45" s="2"/>
      <c r="H45" s="2">
        <f>--47.87</f>
        <v>47.87</v>
      </c>
      <c r="I45" s="2"/>
      <c r="J45" s="19"/>
      <c r="K45" s="2"/>
      <c r="L45" s="2">
        <f t="shared" si="0"/>
        <v>-47.87</v>
      </c>
      <c r="M45" s="2"/>
      <c r="N45" s="19">
        <f t="shared" si="1"/>
        <v>-1</v>
      </c>
      <c r="O45" s="11"/>
      <c r="P45" s="2">
        <f t="shared" si="9"/>
        <v>0</v>
      </c>
      <c r="Q45" s="2"/>
      <c r="R45" s="19"/>
      <c r="S45" s="2"/>
      <c r="T45" s="2">
        <f>--101.83</f>
        <v>101.83</v>
      </c>
      <c r="U45" s="2"/>
      <c r="V45" s="19"/>
      <c r="W45" s="2"/>
      <c r="X45" s="2">
        <f t="shared" si="2"/>
        <v>-101.83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"4126", " - ", "NON-TAXABLE SALES-WRITING INST")</f>
        <v xml:space="preserve">          4126 - NON-TAXABLE SALES-WRITING INST</v>
      </c>
      <c r="C46" s="11"/>
      <c r="D46" s="2">
        <f t="shared" si="8"/>
        <v>0</v>
      </c>
      <c r="E46" s="2"/>
      <c r="F46" s="19"/>
      <c r="G46" s="2"/>
      <c r="H46" s="2">
        <f>0</f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9"/>
        <v>0</v>
      </c>
      <c r="Q46" s="2"/>
      <c r="R46" s="19"/>
      <c r="S46" s="2"/>
      <c r="T46" s="2">
        <f>--52.68</f>
        <v>52.68</v>
      </c>
      <c r="U46" s="2"/>
      <c r="V46" s="19"/>
      <c r="W46" s="2"/>
      <c r="X46" s="2">
        <f t="shared" si="2"/>
        <v>-52.68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"4127", " - ", "NON-TAXABLE SALES-SCHOOL SUPPL")</f>
        <v xml:space="preserve">          4127 - NON-TAXABLE SALES-SCHOOL SUPPL</v>
      </c>
      <c r="C47" s="11"/>
      <c r="D47" s="2">
        <f t="shared" si="8"/>
        <v>0</v>
      </c>
      <c r="E47" s="2"/>
      <c r="F47" s="19"/>
      <c r="G47" s="2"/>
      <c r="H47" s="2">
        <f>--1788.16</f>
        <v>1788.16</v>
      </c>
      <c r="I47" s="2"/>
      <c r="J47" s="19"/>
      <c r="K47" s="2"/>
      <c r="L47" s="2">
        <f t="shared" si="0"/>
        <v>-1788.16</v>
      </c>
      <c r="M47" s="2"/>
      <c r="N47" s="19">
        <f t="shared" si="1"/>
        <v>-1</v>
      </c>
      <c r="O47" s="11"/>
      <c r="P47" s="2">
        <f t="shared" si="9"/>
        <v>0</v>
      </c>
      <c r="Q47" s="2"/>
      <c r="R47" s="19"/>
      <c r="S47" s="2"/>
      <c r="T47" s="2">
        <f>--1860.41</f>
        <v>1860.41</v>
      </c>
      <c r="U47" s="2"/>
      <c r="V47" s="19"/>
      <c r="W47" s="2"/>
      <c r="X47" s="2">
        <f t="shared" si="2"/>
        <v>-1860.41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"4131", " - ", "NON-TAXABLE SALES-FOOD")</f>
        <v xml:space="preserve">          4131 - NON-TAXABLE SALES-FOOD</v>
      </c>
      <c r="C48" s="11"/>
      <c r="D48" s="2">
        <f t="shared" si="8"/>
        <v>0</v>
      </c>
      <c r="E48" s="2"/>
      <c r="F48" s="19"/>
      <c r="G48" s="2"/>
      <c r="H48" s="2">
        <f>--1575.79</f>
        <v>1575.79</v>
      </c>
      <c r="I48" s="2"/>
      <c r="J48" s="19"/>
      <c r="K48" s="2"/>
      <c r="L48" s="2">
        <f t="shared" si="0"/>
        <v>-1575.79</v>
      </c>
      <c r="M48" s="2"/>
      <c r="N48" s="19">
        <f t="shared" si="1"/>
        <v>-1</v>
      </c>
      <c r="O48" s="11"/>
      <c r="P48" s="2">
        <f t="shared" si="9"/>
        <v>0</v>
      </c>
      <c r="Q48" s="2"/>
      <c r="R48" s="19"/>
      <c r="S48" s="2"/>
      <c r="T48" s="2">
        <f>--1835.22</f>
        <v>1835.22</v>
      </c>
      <c r="U48" s="2"/>
      <c r="V48" s="19"/>
      <c r="W48" s="2"/>
      <c r="X48" s="2">
        <f t="shared" si="2"/>
        <v>-1835.22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"4132", " - ", "NON-TAXABLE SALES-JUICE")</f>
        <v xml:space="preserve">          4132 - NON-TAXABLE SALES-JUICE</v>
      </c>
      <c r="C49" s="11"/>
      <c r="D49" s="2">
        <f t="shared" si="8"/>
        <v>0</v>
      </c>
      <c r="E49" s="2"/>
      <c r="F49" s="19"/>
      <c r="G49" s="2"/>
      <c r="H49" s="2">
        <f>--625.8</f>
        <v>625.79999999999995</v>
      </c>
      <c r="I49" s="2"/>
      <c r="J49" s="19"/>
      <c r="K49" s="2"/>
      <c r="L49" s="2">
        <f t="shared" si="0"/>
        <v>-625.79999999999995</v>
      </c>
      <c r="M49" s="2"/>
      <c r="N49" s="19">
        <f t="shared" si="1"/>
        <v>-1</v>
      </c>
      <c r="O49" s="11"/>
      <c r="P49" s="2">
        <f t="shared" si="9"/>
        <v>0</v>
      </c>
      <c r="Q49" s="2"/>
      <c r="R49" s="19"/>
      <c r="S49" s="2"/>
      <c r="T49" s="2">
        <f>--648.29</f>
        <v>648.29</v>
      </c>
      <c r="U49" s="2"/>
      <c r="V49" s="19"/>
      <c r="W49" s="2"/>
      <c r="X49" s="2">
        <f t="shared" si="2"/>
        <v>-648.29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"4133", " - ", "NON-TAXABLE SALES-CANDY")</f>
        <v xml:space="preserve">          4133 - NON-TAXABLE SALES-CANDY</v>
      </c>
      <c r="C50" s="11"/>
      <c r="D50" s="2">
        <f t="shared" si="8"/>
        <v>0</v>
      </c>
      <c r="E50" s="2"/>
      <c r="F50" s="19"/>
      <c r="G50" s="2"/>
      <c r="H50" s="2">
        <f>--12.43</f>
        <v>12.43</v>
      </c>
      <c r="I50" s="2"/>
      <c r="J50" s="19"/>
      <c r="K50" s="2"/>
      <c r="L50" s="2">
        <f t="shared" si="0"/>
        <v>-12.43</v>
      </c>
      <c r="M50" s="2"/>
      <c r="N50" s="19">
        <f t="shared" si="1"/>
        <v>-1</v>
      </c>
      <c r="O50" s="11"/>
      <c r="P50" s="2">
        <f t="shared" si="9"/>
        <v>0</v>
      </c>
      <c r="Q50" s="2"/>
      <c r="R50" s="19"/>
      <c r="S50" s="2"/>
      <c r="T50" s="2">
        <f>--80.71</f>
        <v>80.709999999999994</v>
      </c>
      <c r="U50" s="2"/>
      <c r="V50" s="19"/>
      <c r="W50" s="2"/>
      <c r="X50" s="2">
        <f t="shared" si="2"/>
        <v>-80.709999999999994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"4134", " - ", "NON-TAXABLE SALES-SODA")</f>
        <v xml:space="preserve">          4134 - NON-TAXABLE SALES-SODA</v>
      </c>
      <c r="C51" s="11"/>
      <c r="D51" s="2">
        <f t="shared" si="8"/>
        <v>0</v>
      </c>
      <c r="E51" s="2"/>
      <c r="F51" s="19"/>
      <c r="G51" s="2"/>
      <c r="H51" s="2">
        <f t="shared" ref="H51:H52" si="10">0</f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9"/>
        <v>0</v>
      </c>
      <c r="Q51" s="2"/>
      <c r="R51" s="19"/>
      <c r="S51" s="2"/>
      <c r="T51" s="2">
        <f>--45.53</f>
        <v>45.53</v>
      </c>
      <c r="U51" s="2"/>
      <c r="V51" s="19"/>
      <c r="W51" s="2"/>
      <c r="X51" s="2">
        <f t="shared" si="2"/>
        <v>-45.53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8"/>
        <v>0</v>
      </c>
      <c r="E52" s="2"/>
      <c r="F52" s="19"/>
      <c r="G52" s="2"/>
      <c r="H52" s="2">
        <f t="shared" si="10"/>
        <v>0</v>
      </c>
      <c r="I52" s="2"/>
      <c r="J52" s="19"/>
      <c r="K52" s="2"/>
      <c r="L52" s="2">
        <f t="shared" si="0"/>
        <v>0</v>
      </c>
      <c r="M52" s="2"/>
      <c r="N52" s="19">
        <f t="shared" si="1"/>
        <v>0</v>
      </c>
      <c r="O52" s="11"/>
      <c r="P52" s="2">
        <f t="shared" si="9"/>
        <v>0</v>
      </c>
      <c r="Q52" s="2"/>
      <c r="R52" s="19"/>
      <c r="S52" s="2"/>
      <c r="T52" s="2">
        <f>--68.25</f>
        <v>68.25</v>
      </c>
      <c r="U52" s="2"/>
      <c r="V52" s="19"/>
      <c r="W52" s="2"/>
      <c r="X52" s="2">
        <f t="shared" si="2"/>
        <v>-68.25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 t="shared" si="8"/>
        <v>0</v>
      </c>
      <c r="E53" s="2"/>
      <c r="F53" s="19"/>
      <c r="G53" s="2"/>
      <c r="H53" s="2">
        <f>--7266.5</f>
        <v>7266.5</v>
      </c>
      <c r="I53" s="2"/>
      <c r="J53" s="19"/>
      <c r="K53" s="2"/>
      <c r="L53" s="2">
        <f t="shared" si="0"/>
        <v>-7266.5</v>
      </c>
      <c r="M53" s="2"/>
      <c r="N53" s="19">
        <f t="shared" si="1"/>
        <v>-1</v>
      </c>
      <c r="O53" s="11"/>
      <c r="P53" s="2">
        <f t="shared" si="9"/>
        <v>0</v>
      </c>
      <c r="Q53" s="2"/>
      <c r="R53" s="19"/>
      <c r="S53" s="2"/>
      <c r="T53" s="2">
        <f>--14112.74</f>
        <v>14112.74</v>
      </c>
      <c r="U53" s="2"/>
      <c r="V53" s="19"/>
      <c r="W53" s="2"/>
      <c r="X53" s="2">
        <f t="shared" si="2"/>
        <v>-14112.74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--389.5</f>
        <v>389.5</v>
      </c>
      <c r="E54" s="2"/>
      <c r="F54" s="19"/>
      <c r="G54" s="2"/>
      <c r="H54" s="2">
        <f>--1189.06</f>
        <v>1189.06</v>
      </c>
      <c r="I54" s="2"/>
      <c r="J54" s="19"/>
      <c r="K54" s="2"/>
      <c r="L54" s="2">
        <f t="shared" si="0"/>
        <v>-799.56</v>
      </c>
      <c r="M54" s="2"/>
      <c r="N54" s="19">
        <f t="shared" si="1"/>
        <v>-0.6724303231123745</v>
      </c>
      <c r="O54" s="11"/>
      <c r="P54" s="2">
        <f>--389.5</f>
        <v>389.5</v>
      </c>
      <c r="Q54" s="2"/>
      <c r="R54" s="19"/>
      <c r="S54" s="2"/>
      <c r="T54" s="2">
        <f>--2389.25</f>
        <v>2389.25</v>
      </c>
      <c r="U54" s="2"/>
      <c r="V54" s="19"/>
      <c r="W54" s="2"/>
      <c r="X54" s="2">
        <f t="shared" si="2"/>
        <v>-1999.75</v>
      </c>
      <c r="Y54" s="2"/>
      <c r="Z54" s="19">
        <f t="shared" si="3"/>
        <v>-0.83697813121272369</v>
      </c>
    </row>
    <row r="55" spans="1:26" s="24" customFormat="1" hidden="1" outlineLevel="1" x14ac:dyDescent="0.3">
      <c r="A55" s="44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 t="shared" ref="D55:D58" si="11">0</f>
        <v>0</v>
      </c>
      <c r="E55" s="2"/>
      <c r="F55" s="19"/>
      <c r="G55" s="2"/>
      <c r="H55" s="2">
        <f>--339.4</f>
        <v>339.4</v>
      </c>
      <c r="I55" s="2"/>
      <c r="J55" s="19"/>
      <c r="K55" s="2"/>
      <c r="L55" s="2">
        <f t="shared" si="0"/>
        <v>-339.4</v>
      </c>
      <c r="M55" s="2"/>
      <c r="N55" s="19">
        <f t="shared" si="1"/>
        <v>-1</v>
      </c>
      <c r="O55" s="11"/>
      <c r="P55" s="2">
        <f t="shared" ref="P55:P58" si="12">0</f>
        <v>0</v>
      </c>
      <c r="Q55" s="2"/>
      <c r="R55" s="19"/>
      <c r="S55" s="2"/>
      <c r="T55" s="2">
        <f>--979.57</f>
        <v>979.57</v>
      </c>
      <c r="U55" s="2"/>
      <c r="V55" s="19"/>
      <c r="W55" s="2"/>
      <c r="X55" s="2">
        <f t="shared" si="2"/>
        <v>-979.57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"4143", " - ", "NON-TAXABLE SALES-CARDS")</f>
        <v xml:space="preserve">          4143 - NON-TAXABLE SALES-CARDS</v>
      </c>
      <c r="C56" s="11"/>
      <c r="D56" s="2">
        <f t="shared" si="11"/>
        <v>0</v>
      </c>
      <c r="E56" s="2"/>
      <c r="F56" s="19"/>
      <c r="G56" s="2"/>
      <c r="H56" s="2">
        <f>--19.98</f>
        <v>19.98</v>
      </c>
      <c r="I56" s="2"/>
      <c r="J56" s="19"/>
      <c r="K56" s="2"/>
      <c r="L56" s="2">
        <f t="shared" si="0"/>
        <v>-19.98</v>
      </c>
      <c r="M56" s="2"/>
      <c r="N56" s="19">
        <f t="shared" si="1"/>
        <v>-1</v>
      </c>
      <c r="O56" s="11"/>
      <c r="P56" s="2">
        <f t="shared" si="12"/>
        <v>0</v>
      </c>
      <c r="Q56" s="2"/>
      <c r="R56" s="19"/>
      <c r="S56" s="2"/>
      <c r="T56" s="2">
        <f>--19.98</f>
        <v>19.98</v>
      </c>
      <c r="U56" s="2"/>
      <c r="V56" s="19"/>
      <c r="W56" s="2"/>
      <c r="X56" s="2">
        <f t="shared" si="2"/>
        <v>-19.98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 t="shared" si="11"/>
        <v>0</v>
      </c>
      <c r="E57" s="2"/>
      <c r="F57" s="19"/>
      <c r="G57" s="2"/>
      <c r="H57" s="2">
        <f>--107.95</f>
        <v>107.95</v>
      </c>
      <c r="I57" s="2"/>
      <c r="J57" s="19"/>
      <c r="K57" s="2"/>
      <c r="L57" s="2">
        <f t="shared" si="0"/>
        <v>-107.95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--155.8</f>
        <v>155.80000000000001</v>
      </c>
      <c r="U57" s="2"/>
      <c r="V57" s="19"/>
      <c r="W57" s="2"/>
      <c r="X57" s="2">
        <f t="shared" si="2"/>
        <v>-155.80000000000001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 t="shared" si="11"/>
        <v>0</v>
      </c>
      <c r="E58" s="2"/>
      <c r="F58" s="19"/>
      <c r="G58" s="2"/>
      <c r="H58" s="2">
        <f>--350</f>
        <v>350</v>
      </c>
      <c r="I58" s="2"/>
      <c r="J58" s="19"/>
      <c r="K58" s="2"/>
      <c r="L58" s="2">
        <f t="shared" si="0"/>
        <v>-350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--35846</f>
        <v>35846</v>
      </c>
      <c r="U58" s="2"/>
      <c r="V58" s="19"/>
      <c r="W58" s="2"/>
      <c r="X58" s="2">
        <f t="shared" si="2"/>
        <v>-35846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--2713.4</f>
        <v>2713.4</v>
      </c>
      <c r="E59" s="2"/>
      <c r="F59" s="19"/>
      <c r="G59" s="2"/>
      <c r="H59" s="2">
        <f>--15.5</f>
        <v>15.5</v>
      </c>
      <c r="I59" s="2"/>
      <c r="J59" s="19"/>
      <c r="K59" s="2"/>
      <c r="L59" s="2">
        <f t="shared" si="0"/>
        <v>2697.9</v>
      </c>
      <c r="M59" s="2"/>
      <c r="N59" s="19">
        <f t="shared" si="1"/>
        <v>174.05806451612904</v>
      </c>
      <c r="O59" s="11"/>
      <c r="P59" s="2">
        <f>--2733.6</f>
        <v>2733.6</v>
      </c>
      <c r="Q59" s="2"/>
      <c r="R59" s="19"/>
      <c r="S59" s="2"/>
      <c r="T59" s="2">
        <f>--15.5</f>
        <v>15.5</v>
      </c>
      <c r="U59" s="2"/>
      <c r="V59" s="19"/>
      <c r="W59" s="2"/>
      <c r="X59" s="2">
        <f t="shared" si="2"/>
        <v>2718.1</v>
      </c>
      <c r="Y59" s="2"/>
      <c r="Z59" s="19">
        <f t="shared" si="3"/>
        <v>175.36129032258063</v>
      </c>
    </row>
    <row r="60" spans="1:26" s="24" customFormat="1" hidden="1" outlineLevel="1" x14ac:dyDescent="0.3">
      <c r="A60" s="44"/>
      <c r="B60" s="11" t="str">
        <f>CONCATENATE("          ", "4147", " - ", "NON-TAXABLE SALES-MISC")</f>
        <v xml:space="preserve">          4147 - NON-TAXABLE SALES-MISC</v>
      </c>
      <c r="C60" s="11"/>
      <c r="D60" s="2">
        <f>0</f>
        <v>0</v>
      </c>
      <c r="E60" s="2"/>
      <c r="F60" s="19"/>
      <c r="G60" s="2"/>
      <c r="H60" s="2">
        <f>--23</f>
        <v>23</v>
      </c>
      <c r="I60" s="2"/>
      <c r="J60" s="19"/>
      <c r="K60" s="2"/>
      <c r="L60" s="2">
        <f t="shared" si="0"/>
        <v>-23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--24</f>
        <v>24</v>
      </c>
      <c r="U60" s="2"/>
      <c r="V60" s="19"/>
      <c r="W60" s="2"/>
      <c r="X60" s="2">
        <f t="shared" si="2"/>
        <v>-24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"4151", " - ", "NON-TAXABLE SALES-FOOD")</f>
        <v xml:space="preserve">          4151 - NON-TAXABLE SALES-FOOD</v>
      </c>
      <c r="C61" s="11"/>
      <c r="D61" s="2">
        <f>--498691.97</f>
        <v>498691.97</v>
      </c>
      <c r="E61" s="2"/>
      <c r="F61" s="19"/>
      <c r="G61" s="2"/>
      <c r="H61" s="2">
        <f>--42758.9</f>
        <v>42758.9</v>
      </c>
      <c r="I61" s="2"/>
      <c r="J61" s="19"/>
      <c r="K61" s="2"/>
      <c r="L61" s="2">
        <f t="shared" si="0"/>
        <v>455933.06999999995</v>
      </c>
      <c r="M61" s="2"/>
      <c r="N61" s="19">
        <f t="shared" si="1"/>
        <v>10.662881177953594</v>
      </c>
      <c r="O61" s="11"/>
      <c r="P61" s="2">
        <f>--527363.35</f>
        <v>527363.35</v>
      </c>
      <c r="Q61" s="2"/>
      <c r="R61" s="19"/>
      <c r="S61" s="2"/>
      <c r="T61" s="2">
        <f>--44058.9</f>
        <v>44058.9</v>
      </c>
      <c r="U61" s="2"/>
      <c r="V61" s="19"/>
      <c r="W61" s="2"/>
      <c r="X61" s="2">
        <f t="shared" si="2"/>
        <v>483304.44999999995</v>
      </c>
      <c r="Y61" s="2"/>
      <c r="Z61" s="19">
        <f t="shared" si="3"/>
        <v>10.969507863337485</v>
      </c>
    </row>
    <row r="62" spans="1:26" s="24" customFormat="1" hidden="1" outlineLevel="1" x14ac:dyDescent="0.3">
      <c r="A62" s="44"/>
      <c r="B62" s="11" t="str">
        <f>CONCATENATE("          ", "4153", " - ", "NON-TAXABLE SALES-FOOD")</f>
        <v xml:space="preserve">          4153 - NON-TAXABLE SALES-FOOD</v>
      </c>
      <c r="C62" s="11"/>
      <c r="D62" s="2">
        <f>--15917.66</f>
        <v>15917.66</v>
      </c>
      <c r="E62" s="2"/>
      <c r="F62" s="19"/>
      <c r="G62" s="2"/>
      <c r="H62" s="2">
        <f>--9247.39</f>
        <v>9247.39</v>
      </c>
      <c r="I62" s="2"/>
      <c r="J62" s="19"/>
      <c r="K62" s="2"/>
      <c r="L62" s="2">
        <f t="shared" si="0"/>
        <v>6670.27</v>
      </c>
      <c r="M62" s="2"/>
      <c r="N62" s="19">
        <f t="shared" si="1"/>
        <v>0.72131379773103554</v>
      </c>
      <c r="O62" s="11"/>
      <c r="P62" s="2">
        <f>--19198.37</f>
        <v>19198.37</v>
      </c>
      <c r="Q62" s="2"/>
      <c r="R62" s="19"/>
      <c r="S62" s="2"/>
      <c r="T62" s="2">
        <f>--27075.42</f>
        <v>27075.42</v>
      </c>
      <c r="U62" s="2"/>
      <c r="V62" s="19"/>
      <c r="W62" s="2"/>
      <c r="X62" s="2">
        <f t="shared" si="2"/>
        <v>-7877.0499999999993</v>
      </c>
      <c r="Y62" s="2"/>
      <c r="Z62" s="19">
        <f t="shared" si="3"/>
        <v>-0.2909299283261349</v>
      </c>
    </row>
    <row r="63" spans="1:26" s="24" customFormat="1" hidden="1" outlineLevel="1" x14ac:dyDescent="0.3">
      <c r="A63" s="44"/>
      <c r="B63" s="11" t="str">
        <f>CONCATENATE("          ", "4181", " - ", "NON-TAXABLE SALES-ELECTRONICS")</f>
        <v xml:space="preserve">          4181 - NON-TAXABLE SALES-ELECTRONICS</v>
      </c>
      <c r="C63" s="11"/>
      <c r="D63" s="2">
        <f t="shared" ref="D63:D67" si="13">0</f>
        <v>0</v>
      </c>
      <c r="E63" s="2"/>
      <c r="F63" s="19"/>
      <c r="G63" s="2"/>
      <c r="H63" s="2">
        <f>--2349.29</f>
        <v>2349.29</v>
      </c>
      <c r="I63" s="2"/>
      <c r="J63" s="19"/>
      <c r="K63" s="2"/>
      <c r="L63" s="2">
        <f t="shared" si="0"/>
        <v>-2349.29</v>
      </c>
      <c r="M63" s="2"/>
      <c r="N63" s="19">
        <f t="shared" si="1"/>
        <v>-1</v>
      </c>
      <c r="O63" s="11"/>
      <c r="P63" s="2">
        <f t="shared" ref="P63:P67" si="14">0</f>
        <v>0</v>
      </c>
      <c r="Q63" s="2"/>
      <c r="R63" s="19"/>
      <c r="S63" s="2"/>
      <c r="T63" s="2">
        <f>--2639.27</f>
        <v>2639.27</v>
      </c>
      <c r="U63" s="2"/>
      <c r="V63" s="19"/>
      <c r="W63" s="2"/>
      <c r="X63" s="2">
        <f t="shared" si="2"/>
        <v>-2639.27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"4182", " - ", "NON-TAXABLE SALES-COMPUTER HAR")</f>
        <v xml:space="preserve">          4182 - NON-TAXABLE SALES-COMPUTER HAR</v>
      </c>
      <c r="C64" s="11"/>
      <c r="D64" s="2">
        <f t="shared" si="13"/>
        <v>0</v>
      </c>
      <c r="E64" s="2"/>
      <c r="F64" s="19"/>
      <c r="G64" s="2"/>
      <c r="H64" s="2">
        <f>--46190.39</f>
        <v>46190.39</v>
      </c>
      <c r="I64" s="2"/>
      <c r="J64" s="19"/>
      <c r="K64" s="2"/>
      <c r="L64" s="2">
        <f t="shared" si="0"/>
        <v>-46190.39</v>
      </c>
      <c r="M64" s="2"/>
      <c r="N64" s="19">
        <f t="shared" si="1"/>
        <v>-1</v>
      </c>
      <c r="O64" s="11"/>
      <c r="P64" s="2">
        <f t="shared" si="14"/>
        <v>0</v>
      </c>
      <c r="Q64" s="2"/>
      <c r="R64" s="19"/>
      <c r="S64" s="2"/>
      <c r="T64" s="2">
        <f>--82067.38</f>
        <v>82067.38</v>
      </c>
      <c r="U64" s="2"/>
      <c r="V64" s="19"/>
      <c r="W64" s="2"/>
      <c r="X64" s="2">
        <f t="shared" si="2"/>
        <v>-82067.38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"4183", " - ", "NON-TAXABLE SALES-COMPUTER EQU")</f>
        <v xml:space="preserve">          4183 - NON-TAXABLE SALES-COMPUTER EQU</v>
      </c>
      <c r="C65" s="11"/>
      <c r="D65" s="2">
        <f t="shared" si="13"/>
        <v>0</v>
      </c>
      <c r="E65" s="2"/>
      <c r="F65" s="19"/>
      <c r="G65" s="2"/>
      <c r="H65" s="2">
        <f>--1759.83</f>
        <v>1759.83</v>
      </c>
      <c r="I65" s="2"/>
      <c r="J65" s="19"/>
      <c r="K65" s="2"/>
      <c r="L65" s="2">
        <f t="shared" si="0"/>
        <v>-1759.83</v>
      </c>
      <c r="M65" s="2"/>
      <c r="N65" s="19">
        <f t="shared" si="1"/>
        <v>-1</v>
      </c>
      <c r="O65" s="11"/>
      <c r="P65" s="2">
        <f t="shared" si="14"/>
        <v>0</v>
      </c>
      <c r="Q65" s="2"/>
      <c r="R65" s="19"/>
      <c r="S65" s="2"/>
      <c r="T65" s="2">
        <f>--3119.68</f>
        <v>3119.68</v>
      </c>
      <c r="U65" s="2"/>
      <c r="V65" s="19"/>
      <c r="W65" s="2"/>
      <c r="X65" s="2">
        <f t="shared" si="2"/>
        <v>-3119.68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"4185", " - ", "NON-TAXABLE SALES-SOFTWARE")</f>
        <v xml:space="preserve">          4185 - NON-TAXABLE SALES-SOFTWARE</v>
      </c>
      <c r="C66" s="11"/>
      <c r="D66" s="2">
        <f t="shared" si="13"/>
        <v>0</v>
      </c>
      <c r="E66" s="2"/>
      <c r="F66" s="19"/>
      <c r="G66" s="2"/>
      <c r="H66" s="2">
        <f>--4610.75</f>
        <v>4610.75</v>
      </c>
      <c r="I66" s="2"/>
      <c r="J66" s="19"/>
      <c r="K66" s="2"/>
      <c r="L66" s="2">
        <f t="shared" si="0"/>
        <v>-4610.75</v>
      </c>
      <c r="M66" s="2"/>
      <c r="N66" s="19">
        <f t="shared" si="1"/>
        <v>-1</v>
      </c>
      <c r="O66" s="11"/>
      <c r="P66" s="2">
        <f t="shared" si="14"/>
        <v>0</v>
      </c>
      <c r="Q66" s="2"/>
      <c r="R66" s="19"/>
      <c r="S66" s="2"/>
      <c r="T66" s="2">
        <f>--10798.49</f>
        <v>10798.49</v>
      </c>
      <c r="U66" s="2"/>
      <c r="V66" s="19"/>
      <c r="W66" s="2"/>
      <c r="X66" s="2">
        <f t="shared" si="2"/>
        <v>-10798.49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"4186", " - ", "NON-TAXABLE SALES-COMPUTER SUP")</f>
        <v xml:space="preserve">          4186 - NON-TAXABLE SALES-COMPUTER SUP</v>
      </c>
      <c r="C67" s="11"/>
      <c r="D67" s="2">
        <f t="shared" si="13"/>
        <v>0</v>
      </c>
      <c r="E67" s="2"/>
      <c r="F67" s="19"/>
      <c r="G67" s="2"/>
      <c r="H67" s="2">
        <f>--257.95</f>
        <v>257.95</v>
      </c>
      <c r="I67" s="2"/>
      <c r="J67" s="19"/>
      <c r="K67" s="2"/>
      <c r="L67" s="2">
        <f t="shared" si="0"/>
        <v>-257.95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--412.9</f>
        <v>412.9</v>
      </c>
      <c r="U67" s="2"/>
      <c r="V67" s="19"/>
      <c r="W67" s="2"/>
      <c r="X67" s="2">
        <f t="shared" si="2"/>
        <v>-412.9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"4200", " - ", "TAXABLE RETURNS")</f>
        <v xml:space="preserve">          4200 - TAXABLE RETURNS</v>
      </c>
      <c r="C68" s="11"/>
      <c r="D68" s="2">
        <f>-52638.54</f>
        <v>-52638.54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-52638.54</v>
      </c>
      <c r="M68" s="2"/>
      <c r="N68" s="19">
        <f t="shared" si="1"/>
        <v>0</v>
      </c>
      <c r="O68" s="11"/>
      <c r="P68" s="2">
        <f>-85423.75</f>
        <v>-85423.75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-85423.75</v>
      </c>
      <c r="Y68" s="2"/>
      <c r="Z68" s="19">
        <f t="shared" si="3"/>
        <v>0</v>
      </c>
    </row>
    <row r="69" spans="1:26" s="24" customFormat="1" hidden="1" outlineLevel="1" x14ac:dyDescent="0.3">
      <c r="A69" s="44"/>
      <c r="B69" s="11" t="str">
        <f>CONCATENATE("          ", "4201", " - ", "SALES RETURN TAXABLE-NEW TEXT")</f>
        <v xml:space="preserve">          4201 - SALES RETURN TAXABLE-NEW TEXT</v>
      </c>
      <c r="C69" s="11"/>
      <c r="D69" s="2">
        <f t="shared" ref="D69:D84" si="15">0</f>
        <v>0</v>
      </c>
      <c r="E69" s="2"/>
      <c r="F69" s="19"/>
      <c r="G69" s="2"/>
      <c r="H69" s="2">
        <f>-18222.39</f>
        <v>-18222.39</v>
      </c>
      <c r="I69" s="2"/>
      <c r="J69" s="19"/>
      <c r="K69" s="2"/>
      <c r="L69" s="2">
        <f t="shared" si="0"/>
        <v>18222.39</v>
      </c>
      <c r="M69" s="2"/>
      <c r="N69" s="19">
        <f t="shared" si="1"/>
        <v>-1</v>
      </c>
      <c r="O69" s="11"/>
      <c r="P69" s="2">
        <f t="shared" ref="P69:P84" si="16">0</f>
        <v>0</v>
      </c>
      <c r="Q69" s="2"/>
      <c r="R69" s="19"/>
      <c r="S69" s="2"/>
      <c r="T69" s="2">
        <f>-18855.79</f>
        <v>-18855.79</v>
      </c>
      <c r="U69" s="2"/>
      <c r="V69" s="19"/>
      <c r="W69" s="2"/>
      <c r="X69" s="2">
        <f t="shared" si="2"/>
        <v>18855.79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"4202", " - ", "SALES RETURN TAXABLE-USED TEXT")</f>
        <v xml:space="preserve">          4202 - SALES RETURN TAXABLE-USED TEXT</v>
      </c>
      <c r="C70" s="11"/>
      <c r="D70" s="2">
        <f t="shared" si="15"/>
        <v>0</v>
      </c>
      <c r="E70" s="2"/>
      <c r="F70" s="19"/>
      <c r="G70" s="2"/>
      <c r="H70" s="2">
        <f>-8869.4</f>
        <v>-8869.4</v>
      </c>
      <c r="I70" s="2"/>
      <c r="J70" s="19"/>
      <c r="K70" s="2"/>
      <c r="L70" s="2">
        <f t="shared" si="0"/>
        <v>8869.4</v>
      </c>
      <c r="M70" s="2"/>
      <c r="N70" s="19">
        <f t="shared" si="1"/>
        <v>-1</v>
      </c>
      <c r="O70" s="11"/>
      <c r="P70" s="2">
        <f t="shared" si="16"/>
        <v>0</v>
      </c>
      <c r="Q70" s="2"/>
      <c r="R70" s="19"/>
      <c r="S70" s="2"/>
      <c r="T70" s="2">
        <f>-9047.75</f>
        <v>-9047.75</v>
      </c>
      <c r="U70" s="2"/>
      <c r="V70" s="19"/>
      <c r="W70" s="2"/>
      <c r="X70" s="2">
        <f t="shared" si="2"/>
        <v>9047.75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"4204", " - ", "SALES RETURN TAXABLE-DIGITAL T")</f>
        <v xml:space="preserve">          4204 - SALES RETURN TAXABLE-DIGITAL T</v>
      </c>
      <c r="C71" s="11"/>
      <c r="D71" s="2">
        <f t="shared" si="15"/>
        <v>0</v>
      </c>
      <c r="E71" s="2"/>
      <c r="F71" s="19"/>
      <c r="G71" s="2"/>
      <c r="H71" s="2">
        <f>-1141.08</f>
        <v>-1141.08</v>
      </c>
      <c r="I71" s="2"/>
      <c r="J71" s="19"/>
      <c r="K71" s="2"/>
      <c r="L71" s="2">
        <f t="shared" si="0"/>
        <v>1141.08</v>
      </c>
      <c r="M71" s="2"/>
      <c r="N71" s="19">
        <f t="shared" si="1"/>
        <v>-1</v>
      </c>
      <c r="O71" s="11"/>
      <c r="P71" s="2">
        <f t="shared" si="16"/>
        <v>0</v>
      </c>
      <c r="Q71" s="2"/>
      <c r="R71" s="19"/>
      <c r="S71" s="2"/>
      <c r="T71" s="2">
        <f>-1141.08</f>
        <v>-1141.08</v>
      </c>
      <c r="U71" s="2"/>
      <c r="V71" s="19"/>
      <c r="W71" s="2"/>
      <c r="X71" s="2">
        <f t="shared" si="2"/>
        <v>1141.08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"4226", " - ", "SALES RETURN TAXABLE-WRITING I")</f>
        <v xml:space="preserve">          4226 - SALES RETURN TAXABLE-WRITING I</v>
      </c>
      <c r="C72" s="11"/>
      <c r="D72" s="2">
        <f t="shared" si="15"/>
        <v>0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 t="shared" si="16"/>
        <v>0</v>
      </c>
      <c r="Q72" s="2"/>
      <c r="R72" s="19"/>
      <c r="S72" s="2"/>
      <c r="T72" s="2">
        <f>-6.38</f>
        <v>-6.38</v>
      </c>
      <c r="U72" s="2"/>
      <c r="V72" s="19"/>
      <c r="W72" s="2"/>
      <c r="X72" s="2">
        <f t="shared" si="2"/>
        <v>6.38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"4227", " - ", "SALES RETURN TAXABLE-SCHOOL SU")</f>
        <v xml:space="preserve">          4227 - SALES RETURN TAXABLE-SCHOOL SU</v>
      </c>
      <c r="C73" s="11"/>
      <c r="D73" s="2">
        <f t="shared" si="15"/>
        <v>0</v>
      </c>
      <c r="E73" s="2"/>
      <c r="F73" s="19"/>
      <c r="G73" s="2"/>
      <c r="H73" s="2">
        <f>-359.61</f>
        <v>-359.61</v>
      </c>
      <c r="I73" s="2"/>
      <c r="J73" s="19"/>
      <c r="K73" s="2"/>
      <c r="L73" s="2">
        <f t="shared" si="0"/>
        <v>359.61</v>
      </c>
      <c r="M73" s="2"/>
      <c r="N73" s="19">
        <f t="shared" si="1"/>
        <v>-1</v>
      </c>
      <c r="O73" s="11"/>
      <c r="P73" s="2">
        <f t="shared" si="16"/>
        <v>0</v>
      </c>
      <c r="Q73" s="2"/>
      <c r="R73" s="19"/>
      <c r="S73" s="2"/>
      <c r="T73" s="2">
        <f>-416.38</f>
        <v>-416.38</v>
      </c>
      <c r="U73" s="2"/>
      <c r="V73" s="19"/>
      <c r="W73" s="2"/>
      <c r="X73" s="2">
        <f t="shared" si="2"/>
        <v>416.38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"4228", " - ", "SALES RETURN TAXABLE-ART/TECH")</f>
        <v xml:space="preserve">          4228 - SALES RETURN TAXABLE-ART/TECH</v>
      </c>
      <c r="C74" s="11"/>
      <c r="D74" s="2">
        <f t="shared" si="15"/>
        <v>0</v>
      </c>
      <c r="E74" s="2"/>
      <c r="F74" s="19"/>
      <c r="G74" s="2"/>
      <c r="H74" s="2">
        <f>-164.44</f>
        <v>-164.44</v>
      </c>
      <c r="I74" s="2"/>
      <c r="J74" s="19"/>
      <c r="K74" s="2"/>
      <c r="L74" s="2">
        <f t="shared" si="0"/>
        <v>164.44</v>
      </c>
      <c r="M74" s="2"/>
      <c r="N74" s="19">
        <f t="shared" si="1"/>
        <v>-1</v>
      </c>
      <c r="O74" s="11"/>
      <c r="P74" s="2">
        <f t="shared" si="16"/>
        <v>0</v>
      </c>
      <c r="Q74" s="2"/>
      <c r="R74" s="19"/>
      <c r="S74" s="2"/>
      <c r="T74" s="2">
        <f>-164.44</f>
        <v>-164.44</v>
      </c>
      <c r="U74" s="2"/>
      <c r="V74" s="19"/>
      <c r="W74" s="2"/>
      <c r="X74" s="2">
        <f t="shared" si="2"/>
        <v>164.44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"4240", " - ", "SALES RETURN TAXABLE-LOGO CLOT")</f>
        <v xml:space="preserve">          4240 - SALES RETURN TAXABLE-LOGO CLOT</v>
      </c>
      <c r="C75" s="11"/>
      <c r="D75" s="2">
        <f t="shared" si="15"/>
        <v>0</v>
      </c>
      <c r="E75" s="2"/>
      <c r="F75" s="19"/>
      <c r="G75" s="2"/>
      <c r="H75" s="2">
        <f>-4788.72</f>
        <v>-4788.72</v>
      </c>
      <c r="I75" s="2"/>
      <c r="J75" s="19"/>
      <c r="K75" s="2"/>
      <c r="L75" s="2">
        <f t="shared" si="0"/>
        <v>4788.72</v>
      </c>
      <c r="M75" s="2"/>
      <c r="N75" s="19">
        <f t="shared" si="1"/>
        <v>-1</v>
      </c>
      <c r="O75" s="11"/>
      <c r="P75" s="2">
        <f t="shared" si="16"/>
        <v>0</v>
      </c>
      <c r="Q75" s="2"/>
      <c r="R75" s="19"/>
      <c r="S75" s="2"/>
      <c r="T75" s="2">
        <f>-8156.82</f>
        <v>-8156.82</v>
      </c>
      <c r="U75" s="2"/>
      <c r="V75" s="19"/>
      <c r="W75" s="2"/>
      <c r="X75" s="2">
        <f t="shared" si="2"/>
        <v>8156.82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"4241", " - ", "SALES RETURN TAXABLE-LOGO GIFT")</f>
        <v xml:space="preserve">          4241 - SALES RETURN TAXABLE-LOGO GIFT</v>
      </c>
      <c r="C76" s="11"/>
      <c r="D76" s="2">
        <f t="shared" si="15"/>
        <v>0</v>
      </c>
      <c r="E76" s="2"/>
      <c r="F76" s="19"/>
      <c r="G76" s="2"/>
      <c r="H76" s="2">
        <f>-986.21</f>
        <v>-986.21</v>
      </c>
      <c r="I76" s="2"/>
      <c r="J76" s="19"/>
      <c r="K76" s="2"/>
      <c r="L76" s="2">
        <f t="shared" si="0"/>
        <v>986.21</v>
      </c>
      <c r="M76" s="2"/>
      <c r="N76" s="19">
        <f t="shared" si="1"/>
        <v>-1</v>
      </c>
      <c r="O76" s="11"/>
      <c r="P76" s="2">
        <f t="shared" si="16"/>
        <v>0</v>
      </c>
      <c r="Q76" s="2"/>
      <c r="R76" s="19"/>
      <c r="S76" s="2"/>
      <c r="T76" s="2">
        <f>-1328.19</f>
        <v>-1328.19</v>
      </c>
      <c r="U76" s="2"/>
      <c r="V76" s="19"/>
      <c r="W76" s="2"/>
      <c r="X76" s="2">
        <f t="shared" si="2"/>
        <v>1328.19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"4242", " - ", "SALES RETURN TAXABLE-EVERYDAY")</f>
        <v xml:space="preserve">          4242 - SALES RETURN TAXABLE-EVERYDAY</v>
      </c>
      <c r="C77" s="11"/>
      <c r="D77" s="2">
        <f t="shared" si="15"/>
        <v>0</v>
      </c>
      <c r="E77" s="2"/>
      <c r="F77" s="19"/>
      <c r="G77" s="2"/>
      <c r="H77" s="2">
        <f>-470.53</f>
        <v>-470.53</v>
      </c>
      <c r="I77" s="2"/>
      <c r="J77" s="19"/>
      <c r="K77" s="2"/>
      <c r="L77" s="2">
        <f t="shared" si="0"/>
        <v>470.53</v>
      </c>
      <c r="M77" s="2"/>
      <c r="N77" s="19">
        <f t="shared" si="1"/>
        <v>-1</v>
      </c>
      <c r="O77" s="11"/>
      <c r="P77" s="2">
        <f t="shared" si="16"/>
        <v>0</v>
      </c>
      <c r="Q77" s="2"/>
      <c r="R77" s="19"/>
      <c r="S77" s="2"/>
      <c r="T77" s="2">
        <f>-649.49</f>
        <v>-649.49</v>
      </c>
      <c r="U77" s="2"/>
      <c r="V77" s="19"/>
      <c r="W77" s="2"/>
      <c r="X77" s="2">
        <f t="shared" si="2"/>
        <v>649.49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"4243", " - ", "SALES RETURN TAXABLE-CARDS")</f>
        <v xml:space="preserve">          4243 - SALES RETURN TAXABLE-CARDS</v>
      </c>
      <c r="C78" s="11"/>
      <c r="D78" s="2">
        <f t="shared" si="15"/>
        <v>0</v>
      </c>
      <c r="E78" s="2"/>
      <c r="F78" s="19"/>
      <c r="G78" s="2"/>
      <c r="H78" s="2">
        <f>-93.43</f>
        <v>-93.43</v>
      </c>
      <c r="I78" s="2"/>
      <c r="J78" s="19"/>
      <c r="K78" s="2"/>
      <c r="L78" s="2">
        <f t="shared" si="0"/>
        <v>93.43</v>
      </c>
      <c r="M78" s="2"/>
      <c r="N78" s="19">
        <f t="shared" si="1"/>
        <v>-1</v>
      </c>
      <c r="O78" s="11"/>
      <c r="P78" s="2">
        <f t="shared" si="16"/>
        <v>0</v>
      </c>
      <c r="Q78" s="2"/>
      <c r="R78" s="19"/>
      <c r="S78" s="2"/>
      <c r="T78" s="2">
        <f>-93.43</f>
        <v>-93.43</v>
      </c>
      <c r="U78" s="2"/>
      <c r="V78" s="19"/>
      <c r="W78" s="2"/>
      <c r="X78" s="2">
        <f t="shared" si="2"/>
        <v>93.43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"4244", " - ", "SALES RETURN TAXABLE-ACCESSORI")</f>
        <v xml:space="preserve">          4244 - SALES RETURN TAXABLE-ACCESSORI</v>
      </c>
      <c r="C79" s="11"/>
      <c r="D79" s="2">
        <f t="shared" si="15"/>
        <v>0</v>
      </c>
      <c r="E79" s="2"/>
      <c r="F79" s="19"/>
      <c r="G79" s="2"/>
      <c r="H79" s="2">
        <f>-350.99</f>
        <v>-350.99</v>
      </c>
      <c r="I79" s="2"/>
      <c r="J79" s="19"/>
      <c r="K79" s="2"/>
      <c r="L79" s="2">
        <f t="shared" si="0"/>
        <v>350.99</v>
      </c>
      <c r="M79" s="2"/>
      <c r="N79" s="19">
        <f t="shared" si="1"/>
        <v>-1</v>
      </c>
      <c r="O79" s="11"/>
      <c r="P79" s="2">
        <f t="shared" si="16"/>
        <v>0</v>
      </c>
      <c r="Q79" s="2"/>
      <c r="R79" s="19"/>
      <c r="S79" s="2"/>
      <c r="T79" s="2">
        <f>-350.99</f>
        <v>-350.99</v>
      </c>
      <c r="U79" s="2"/>
      <c r="V79" s="19"/>
      <c r="W79" s="2"/>
      <c r="X79" s="2">
        <f t="shared" si="2"/>
        <v>350.99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"4245", " - ", "SALES RETURN TAXABLE-SPECIAL O")</f>
        <v xml:space="preserve">          4245 - SALES RETURN TAXABLE-SPECIAL O</v>
      </c>
      <c r="C80" s="11"/>
      <c r="D80" s="2">
        <f t="shared" si="15"/>
        <v>0</v>
      </c>
      <c r="E80" s="2"/>
      <c r="F80" s="19"/>
      <c r="G80" s="2"/>
      <c r="H80" s="2">
        <f>-57.96</f>
        <v>-57.96</v>
      </c>
      <c r="I80" s="2"/>
      <c r="J80" s="19"/>
      <c r="K80" s="2"/>
      <c r="L80" s="2">
        <f t="shared" si="0"/>
        <v>57.96</v>
      </c>
      <c r="M80" s="2"/>
      <c r="N80" s="19">
        <f t="shared" si="1"/>
        <v>-1</v>
      </c>
      <c r="O80" s="11"/>
      <c r="P80" s="2">
        <f t="shared" si="16"/>
        <v>0</v>
      </c>
      <c r="Q80" s="2"/>
      <c r="R80" s="19"/>
      <c r="S80" s="2"/>
      <c r="T80" s="2">
        <f>-1178.96</f>
        <v>-1178.96</v>
      </c>
      <c r="U80" s="2"/>
      <c r="V80" s="19"/>
      <c r="W80" s="2"/>
      <c r="X80" s="2">
        <f t="shared" si="2"/>
        <v>1178.96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"4281", " - ", "SALES RETURN TAXABLE-ELECTRONI")</f>
        <v xml:space="preserve">          4281 - SALES RETURN TAXABLE-ELECTRONI</v>
      </c>
      <c r="C81" s="11"/>
      <c r="D81" s="2">
        <f t="shared" si="15"/>
        <v>0</v>
      </c>
      <c r="E81" s="2"/>
      <c r="F81" s="19"/>
      <c r="G81" s="2"/>
      <c r="H81" s="2">
        <f>-7424.23</f>
        <v>-7424.23</v>
      </c>
      <c r="I81" s="2"/>
      <c r="J81" s="19"/>
      <c r="K81" s="2"/>
      <c r="L81" s="2">
        <f t="shared" si="0"/>
        <v>7424.23</v>
      </c>
      <c r="M81" s="2"/>
      <c r="N81" s="19">
        <f t="shared" si="1"/>
        <v>-1</v>
      </c>
      <c r="O81" s="11"/>
      <c r="P81" s="2">
        <f t="shared" si="16"/>
        <v>0</v>
      </c>
      <c r="Q81" s="2"/>
      <c r="R81" s="19"/>
      <c r="S81" s="2"/>
      <c r="T81" s="2">
        <f>-13716.22</f>
        <v>-13716.22</v>
      </c>
      <c r="U81" s="2"/>
      <c r="V81" s="19"/>
      <c r="W81" s="2"/>
      <c r="X81" s="2">
        <f t="shared" si="2"/>
        <v>13716.22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"4282", " - ", "SALES RETURN TAXABLE-COMPUTER")</f>
        <v xml:space="preserve">          4282 - SALES RETURN TAXABLE-COMPUTER</v>
      </c>
      <c r="C82" s="11"/>
      <c r="D82" s="2">
        <f t="shared" si="15"/>
        <v>0</v>
      </c>
      <c r="E82" s="2"/>
      <c r="F82" s="19"/>
      <c r="G82" s="2"/>
      <c r="H82" s="2">
        <f>-15442</f>
        <v>-15442</v>
      </c>
      <c r="I82" s="2"/>
      <c r="J82" s="19"/>
      <c r="K82" s="2"/>
      <c r="L82" s="2">
        <f t="shared" si="0"/>
        <v>15442</v>
      </c>
      <c r="M82" s="2"/>
      <c r="N82" s="19">
        <f t="shared" si="1"/>
        <v>-1</v>
      </c>
      <c r="O82" s="11"/>
      <c r="P82" s="2">
        <f t="shared" si="16"/>
        <v>0</v>
      </c>
      <c r="Q82" s="2"/>
      <c r="R82" s="19"/>
      <c r="S82" s="2"/>
      <c r="T82" s="2">
        <f>-33649</f>
        <v>-33649</v>
      </c>
      <c r="U82" s="2"/>
      <c r="V82" s="19"/>
      <c r="W82" s="2"/>
      <c r="X82" s="2">
        <f t="shared" si="2"/>
        <v>33649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"4283", " - ", "SALES RETURN TAXABLE-COMPUTER")</f>
        <v xml:space="preserve">          4283 - SALES RETURN TAXABLE-COMPUTER</v>
      </c>
      <c r="C83" s="11"/>
      <c r="D83" s="2">
        <f t="shared" si="15"/>
        <v>0</v>
      </c>
      <c r="E83" s="2"/>
      <c r="F83" s="19"/>
      <c r="G83" s="2"/>
      <c r="H83" s="2">
        <f>-699.9</f>
        <v>-699.9</v>
      </c>
      <c r="I83" s="2"/>
      <c r="J83" s="19"/>
      <c r="K83" s="2"/>
      <c r="L83" s="2">
        <f t="shared" si="0"/>
        <v>699.9</v>
      </c>
      <c r="M83" s="2"/>
      <c r="N83" s="19">
        <f t="shared" si="1"/>
        <v>-1</v>
      </c>
      <c r="O83" s="11"/>
      <c r="P83" s="2">
        <f t="shared" si="16"/>
        <v>0</v>
      </c>
      <c r="Q83" s="2"/>
      <c r="R83" s="19"/>
      <c r="S83" s="2"/>
      <c r="T83" s="2">
        <f>-1518.83</f>
        <v>-1518.83</v>
      </c>
      <c r="U83" s="2"/>
      <c r="V83" s="19"/>
      <c r="W83" s="2"/>
      <c r="X83" s="2">
        <f t="shared" si="2"/>
        <v>1518.83</v>
      </c>
      <c r="Y83" s="2"/>
      <c r="Z83" s="19">
        <f t="shared" si="3"/>
        <v>-1</v>
      </c>
    </row>
    <row r="84" spans="1:26" s="24" customFormat="1" hidden="1" outlineLevel="1" x14ac:dyDescent="0.3">
      <c r="A84" s="44"/>
      <c r="B84" s="11" t="str">
        <f>CONCATENATE("          ", "4286", " - ", "SALES RETURN TAXABLE-COMPUTER")</f>
        <v xml:space="preserve">          4286 - SALES RETURN TAXABLE-COMPUTER</v>
      </c>
      <c r="C84" s="11"/>
      <c r="D84" s="2">
        <f t="shared" si="15"/>
        <v>0</v>
      </c>
      <c r="E84" s="2"/>
      <c r="F84" s="19"/>
      <c r="G84" s="2"/>
      <c r="H84" s="2">
        <f>-153.96</f>
        <v>-153.96</v>
      </c>
      <c r="I84" s="2"/>
      <c r="J84" s="19"/>
      <c r="K84" s="2"/>
      <c r="L84" s="2">
        <f t="shared" si="0"/>
        <v>153.96</v>
      </c>
      <c r="M84" s="2"/>
      <c r="N84" s="19">
        <f t="shared" si="1"/>
        <v>-1</v>
      </c>
      <c r="O84" s="11"/>
      <c r="P84" s="2">
        <f t="shared" si="16"/>
        <v>0</v>
      </c>
      <c r="Q84" s="2"/>
      <c r="R84" s="19"/>
      <c r="S84" s="2"/>
      <c r="T84" s="2">
        <f>-153.96</f>
        <v>-153.96</v>
      </c>
      <c r="U84" s="2"/>
      <c r="V84" s="19"/>
      <c r="W84" s="2"/>
      <c r="X84" s="2">
        <f t="shared" si="2"/>
        <v>153.96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"4300", " - ", "NON-TAX RETURNS")</f>
        <v xml:space="preserve">          4300 - NON-TAX RETURNS</v>
      </c>
      <c r="C85" s="11"/>
      <c r="D85" s="2">
        <f>-16535.91</f>
        <v>-16535.91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-16535.91</v>
      </c>
      <c r="M85" s="2"/>
      <c r="N85" s="19">
        <f t="shared" si="1"/>
        <v>0</v>
      </c>
      <c r="O85" s="11"/>
      <c r="P85" s="2">
        <f>-18037.49</f>
        <v>-18037.490000000002</v>
      </c>
      <c r="Q85" s="2"/>
      <c r="R85" s="19"/>
      <c r="S85" s="2"/>
      <c r="T85" s="2">
        <f>0</f>
        <v>0</v>
      </c>
      <c r="U85" s="2"/>
      <c r="V85" s="19"/>
      <c r="W85" s="2"/>
      <c r="X85" s="2">
        <f t="shared" si="2"/>
        <v>-18037.490000000002</v>
      </c>
      <c r="Y85" s="2"/>
      <c r="Z85" s="19">
        <f t="shared" si="3"/>
        <v>0</v>
      </c>
    </row>
    <row r="86" spans="1:26" s="24" customFormat="1" hidden="1" outlineLevel="1" x14ac:dyDescent="0.3">
      <c r="A86" s="44"/>
      <c r="B86" s="11" t="str">
        <f>CONCATENATE("          ", "4301", " - ", "SALES RETURN NON TAXABLE-NEW T")</f>
        <v xml:space="preserve">          4301 - SALES RETURN NON TAXABLE-NEW T</v>
      </c>
      <c r="C86" s="11"/>
      <c r="D86" s="2">
        <f t="shared" ref="D86:D92" si="17">0</f>
        <v>0</v>
      </c>
      <c r="E86" s="2"/>
      <c r="F86" s="19"/>
      <c r="G86" s="2"/>
      <c r="H86" s="2">
        <f>-20.25</f>
        <v>-20.25</v>
      </c>
      <c r="I86" s="2"/>
      <c r="J86" s="19"/>
      <c r="K86" s="2"/>
      <c r="L86" s="2">
        <f t="shared" si="0"/>
        <v>20.25</v>
      </c>
      <c r="M86" s="2"/>
      <c r="N86" s="19">
        <f t="shared" si="1"/>
        <v>-1</v>
      </c>
      <c r="O86" s="11"/>
      <c r="P86" s="2">
        <f t="shared" ref="P86:P92" si="18">0</f>
        <v>0</v>
      </c>
      <c r="Q86" s="2"/>
      <c r="R86" s="19"/>
      <c r="S86" s="2"/>
      <c r="T86" s="2">
        <f>-20.25</f>
        <v>-20.25</v>
      </c>
      <c r="U86" s="2"/>
      <c r="V86" s="19"/>
      <c r="W86" s="2"/>
      <c r="X86" s="2">
        <f t="shared" si="2"/>
        <v>20.25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"4302", " - ", "SALES RETURN NON TAXABLE-TEXT")</f>
        <v xml:space="preserve">          4302 - SALES RETURN NON TAXABLE-TEXT</v>
      </c>
      <c r="C87" s="11"/>
      <c r="D87" s="2">
        <f t="shared" si="17"/>
        <v>0</v>
      </c>
      <c r="E87" s="2"/>
      <c r="F87" s="19"/>
      <c r="G87" s="2"/>
      <c r="H87" s="2">
        <f>-346.17</f>
        <v>-346.17</v>
      </c>
      <c r="I87" s="2"/>
      <c r="J87" s="19"/>
      <c r="K87" s="2"/>
      <c r="L87" s="2">
        <f t="shared" si="0"/>
        <v>346.17</v>
      </c>
      <c r="M87" s="2"/>
      <c r="N87" s="19">
        <f t="shared" si="1"/>
        <v>-1</v>
      </c>
      <c r="O87" s="11"/>
      <c r="P87" s="2">
        <f t="shared" si="18"/>
        <v>0</v>
      </c>
      <c r="Q87" s="2"/>
      <c r="R87" s="19"/>
      <c r="S87" s="2"/>
      <c r="T87" s="2">
        <f>-409.84</f>
        <v>-409.84</v>
      </c>
      <c r="U87" s="2"/>
      <c r="V87" s="19"/>
      <c r="W87" s="2"/>
      <c r="X87" s="2">
        <f t="shared" si="2"/>
        <v>409.84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"4304", " - ", "SALES RETURN NON TAXABLE-DIGIT")</f>
        <v xml:space="preserve">          4304 - SALES RETURN NON TAXABLE-DIGIT</v>
      </c>
      <c r="C88" s="11"/>
      <c r="D88" s="2">
        <f t="shared" si="17"/>
        <v>0</v>
      </c>
      <c r="E88" s="2"/>
      <c r="F88" s="19"/>
      <c r="G88" s="2"/>
      <c r="H88" s="2">
        <f>-5500.68</f>
        <v>-5500.68</v>
      </c>
      <c r="I88" s="2"/>
      <c r="J88" s="19"/>
      <c r="K88" s="2"/>
      <c r="L88" s="2">
        <f t="shared" si="0"/>
        <v>5500.68</v>
      </c>
      <c r="M88" s="2"/>
      <c r="N88" s="19">
        <f t="shared" si="1"/>
        <v>-1</v>
      </c>
      <c r="O88" s="11"/>
      <c r="P88" s="2">
        <f t="shared" si="18"/>
        <v>0</v>
      </c>
      <c r="Q88" s="2"/>
      <c r="R88" s="19"/>
      <c r="S88" s="2"/>
      <c r="T88" s="2">
        <f>-5952.73</f>
        <v>-5952.73</v>
      </c>
      <c r="U88" s="2"/>
      <c r="V88" s="19"/>
      <c r="W88" s="2"/>
      <c r="X88" s="2">
        <f t="shared" si="2"/>
        <v>5952.73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"4340", " - ", "SALES RETURN NON TAXABLE-LOGO")</f>
        <v xml:space="preserve">          4340 - SALES RETURN NON TAXABLE-LOGO</v>
      </c>
      <c r="C89" s="11"/>
      <c r="D89" s="2">
        <f t="shared" si="17"/>
        <v>0</v>
      </c>
      <c r="E89" s="2"/>
      <c r="F89" s="19"/>
      <c r="G89" s="2"/>
      <c r="H89" s="2">
        <f>-69.9</f>
        <v>-69.900000000000006</v>
      </c>
      <c r="I89" s="2"/>
      <c r="J89" s="19"/>
      <c r="K89" s="2"/>
      <c r="L89" s="2">
        <f t="shared" si="0"/>
        <v>69.900000000000006</v>
      </c>
      <c r="M89" s="2"/>
      <c r="N89" s="19">
        <f t="shared" si="1"/>
        <v>-1</v>
      </c>
      <c r="O89" s="11"/>
      <c r="P89" s="2">
        <f t="shared" si="18"/>
        <v>0</v>
      </c>
      <c r="Q89" s="2"/>
      <c r="R89" s="19"/>
      <c r="S89" s="2"/>
      <c r="T89" s="2">
        <f>-504.14</f>
        <v>-504.14</v>
      </c>
      <c r="U89" s="2"/>
      <c r="V89" s="19"/>
      <c r="W89" s="2"/>
      <c r="X89" s="2">
        <f t="shared" si="2"/>
        <v>504.14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"4341", " - ", "SALES RETURN NON TAXABLE-LOGO")</f>
        <v xml:space="preserve">          4341 - SALES RETURN NON TAXABLE-LOGO</v>
      </c>
      <c r="C90" s="11"/>
      <c r="D90" s="2">
        <f t="shared" si="17"/>
        <v>0</v>
      </c>
      <c r="E90" s="2"/>
      <c r="F90" s="19"/>
      <c r="G90" s="2"/>
      <c r="H90" s="2">
        <f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8"/>
        <v>0</v>
      </c>
      <c r="Q90" s="2"/>
      <c r="R90" s="19"/>
      <c r="S90" s="2"/>
      <c r="T90" s="2">
        <f>-16.95</f>
        <v>-16.95</v>
      </c>
      <c r="U90" s="2"/>
      <c r="V90" s="19"/>
      <c r="W90" s="2"/>
      <c r="X90" s="2">
        <f t="shared" si="2"/>
        <v>16.95</v>
      </c>
      <c r="Y90" s="2"/>
      <c r="Z90" s="19">
        <f t="shared" si="3"/>
        <v>-1</v>
      </c>
    </row>
    <row r="91" spans="1:26" s="24" customFormat="1" hidden="1" outlineLevel="1" x14ac:dyDescent="0.3">
      <c r="A91" s="44"/>
      <c r="B91" s="11" t="str">
        <f>CONCATENATE("          ", "4342", " - ", "SALES RETURN NON TAXABLE-EVERY")</f>
        <v xml:space="preserve">          4342 - SALES RETURN NON TAXABLE-EVERY</v>
      </c>
      <c r="C91" s="11"/>
      <c r="D91" s="2">
        <f t="shared" si="17"/>
        <v>0</v>
      </c>
      <c r="E91" s="2"/>
      <c r="F91" s="19"/>
      <c r="G91" s="2"/>
      <c r="H91" s="2">
        <f>-13.9</f>
        <v>-13.9</v>
      </c>
      <c r="I91" s="2"/>
      <c r="J91" s="19"/>
      <c r="K91" s="2"/>
      <c r="L91" s="2">
        <f t="shared" si="0"/>
        <v>13.9</v>
      </c>
      <c r="M91" s="2"/>
      <c r="N91" s="19">
        <f t="shared" si="1"/>
        <v>-1</v>
      </c>
      <c r="O91" s="11"/>
      <c r="P91" s="2">
        <f t="shared" si="18"/>
        <v>0</v>
      </c>
      <c r="Q91" s="2"/>
      <c r="R91" s="19"/>
      <c r="S91" s="2"/>
      <c r="T91" s="2">
        <f>-93.75</f>
        <v>-93.75</v>
      </c>
      <c r="U91" s="2"/>
      <c r="V91" s="19"/>
      <c r="W91" s="2"/>
      <c r="X91" s="2">
        <f t="shared" si="2"/>
        <v>93.75</v>
      </c>
      <c r="Y91" s="2"/>
      <c r="Z91" s="19">
        <f t="shared" si="3"/>
        <v>-1</v>
      </c>
    </row>
    <row r="92" spans="1:26" s="24" customFormat="1" hidden="1" outlineLevel="1" x14ac:dyDescent="0.3">
      <c r="A92" s="44"/>
      <c r="B92" s="11" t="str">
        <f>CONCATENATE("          ", "4381", " - ", "SALES RETURN NON TAXABLE-ELECT")</f>
        <v xml:space="preserve">          4381 - SALES RETURN NON TAXABLE-ELECT</v>
      </c>
      <c r="C92" s="11"/>
      <c r="D92" s="2">
        <f t="shared" si="17"/>
        <v>0</v>
      </c>
      <c r="E92" s="2"/>
      <c r="F92" s="19"/>
      <c r="G92" s="2"/>
      <c r="H92" s="2">
        <f>-3625.2</f>
        <v>-3625.2</v>
      </c>
      <c r="I92" s="2"/>
      <c r="J92" s="19"/>
      <c r="K92" s="2"/>
      <c r="L92" s="2">
        <f t="shared" si="0"/>
        <v>3625.2</v>
      </c>
      <c r="M92" s="2"/>
      <c r="N92" s="19">
        <f t="shared" si="1"/>
        <v>-1</v>
      </c>
      <c r="O92" s="11"/>
      <c r="P92" s="2">
        <f t="shared" si="18"/>
        <v>0</v>
      </c>
      <c r="Q92" s="2"/>
      <c r="R92" s="19"/>
      <c r="S92" s="2"/>
      <c r="T92" s="2">
        <f>-5374.2</f>
        <v>-5374.2</v>
      </c>
      <c r="U92" s="2"/>
      <c r="V92" s="19"/>
      <c r="W92" s="2"/>
      <c r="X92" s="2">
        <f t="shared" si="2"/>
        <v>5374.2</v>
      </c>
      <c r="Y92" s="2"/>
      <c r="Z92" s="19">
        <f t="shared" si="3"/>
        <v>-1</v>
      </c>
    </row>
    <row r="93" spans="1:26" x14ac:dyDescent="0.3">
      <c r="A93" s="9"/>
      <c r="B93" s="10"/>
      <c r="C93" s="9"/>
      <c r="D93" s="3"/>
      <c r="E93" s="3"/>
      <c r="F93" s="6"/>
      <c r="G93" s="3"/>
      <c r="H93" s="3"/>
      <c r="I93" s="3"/>
      <c r="J93" s="6"/>
      <c r="K93" s="3"/>
      <c r="L93" s="3"/>
      <c r="M93" s="3"/>
      <c r="N93" s="6"/>
      <c r="P93" s="3"/>
      <c r="Q93" s="3"/>
      <c r="R93" s="6"/>
      <c r="S93" s="3"/>
      <c r="T93" s="3"/>
      <c r="U93" s="3"/>
      <c r="V93" s="6"/>
      <c r="W93" s="3"/>
      <c r="X93" s="3"/>
      <c r="Y93" s="3"/>
      <c r="Z93" s="6"/>
    </row>
    <row r="94" spans="1:26" s="23" customFormat="1" collapsed="1" x14ac:dyDescent="0.3">
      <c r="A94" s="10"/>
      <c r="B94" s="26" t="s">
        <v>256</v>
      </c>
      <c r="C94" s="10"/>
      <c r="D94" s="4">
        <f>SUM(OSRRefD16x_0)</f>
        <v>1476722.11</v>
      </c>
      <c r="E94" s="4"/>
      <c r="F94" s="12">
        <f t="shared" ref="F94:F135" si="19">IF(D$12=0,0,D94/D$12)</f>
        <v>0.59341066681555232</v>
      </c>
      <c r="G94" s="4"/>
      <c r="H94" s="4">
        <f>SUM(OSRRefH16x_0)</f>
        <v>1608162.8300000003</v>
      </c>
      <c r="I94" s="4"/>
      <c r="J94" s="12">
        <f t="shared" ref="J94:J135" si="20">IF(H$12=0,0,H94/H$12)</f>
        <v>0.72734892218640745</v>
      </c>
      <c r="K94" s="4"/>
      <c r="L94" s="4">
        <f t="shared" ref="L94:L135" si="21">+D94-H94</f>
        <v>-131440.7200000002</v>
      </c>
      <c r="M94" s="4"/>
      <c r="N94" s="12">
        <f t="shared" ref="N94:N135" si="22">IF(H94=0,0,L94/H94)</f>
        <v>-8.1733464763639754E-2</v>
      </c>
      <c r="O94" s="10"/>
      <c r="P94" s="4">
        <f>SUM(OSRRefP16x_0)</f>
        <v>1708703.24</v>
      </c>
      <c r="Q94" s="4"/>
      <c r="R94" s="12">
        <f t="shared" ref="R94:R135" si="23">IF(P$12=0,0,P94/P$12)</f>
        <v>0.57096044861854889</v>
      </c>
      <c r="S94" s="4"/>
      <c r="T94" s="4">
        <f>SUM(OSRRefT16x_0)</f>
        <v>1944976.8500000003</v>
      </c>
      <c r="U94" s="4"/>
      <c r="V94" s="12">
        <f t="shared" ref="V94:V135" si="24">IF(T$12=0,0,T94/T$12)</f>
        <v>0.72360450930399067</v>
      </c>
      <c r="W94" s="4"/>
      <c r="X94" s="4">
        <f t="shared" ref="X94:X135" si="25">+P94-T94</f>
        <v>-236273.61000000034</v>
      </c>
      <c r="Y94" s="4"/>
      <c r="Z94" s="12">
        <f t="shared" ref="Z94:Z135" si="26">IF(T94=0,0,X94/T94)</f>
        <v>-0.12147888032703336</v>
      </c>
    </row>
    <row r="95" spans="1:26" s="24" customFormat="1" hidden="1" outlineLevel="1" x14ac:dyDescent="0.3">
      <c r="A95" s="44"/>
      <c r="B95" s="11" t="str">
        <f>CONCATENATE("          ", "5000", " - ", "PURCHASES @ COST")</f>
        <v xml:space="preserve">          5000 - PURCHASES @ COST</v>
      </c>
      <c r="C95" s="11"/>
      <c r="D95" s="2">
        <v>785954.3</v>
      </c>
      <c r="E95" s="2"/>
      <c r="F95" s="19">
        <f t="shared" si="19"/>
        <v>0.31583035297653306</v>
      </c>
      <c r="G95" s="2"/>
      <c r="H95" s="2"/>
      <c r="I95" s="2"/>
      <c r="J95" s="19">
        <f t="shared" si="20"/>
        <v>0</v>
      </c>
      <c r="K95" s="2"/>
      <c r="L95" s="2">
        <f t="shared" si="21"/>
        <v>785954.3</v>
      </c>
      <c r="M95" s="2"/>
      <c r="N95" s="19">
        <f t="shared" si="22"/>
        <v>0</v>
      </c>
      <c r="O95" s="11"/>
      <c r="P95" s="2">
        <v>1228090.51</v>
      </c>
      <c r="Q95" s="2"/>
      <c r="R95" s="19">
        <f t="shared" si="23"/>
        <v>0.41036447530454884</v>
      </c>
      <c r="S95" s="2"/>
      <c r="T95" s="2"/>
      <c r="U95" s="2"/>
      <c r="V95" s="19">
        <f t="shared" si="24"/>
        <v>0</v>
      </c>
      <c r="W95" s="2"/>
      <c r="X95" s="2">
        <f t="shared" si="25"/>
        <v>1228090.51</v>
      </c>
      <c r="Y95" s="2"/>
      <c r="Z95" s="19">
        <f t="shared" si="26"/>
        <v>0</v>
      </c>
    </row>
    <row r="96" spans="1:26" s="24" customFormat="1" hidden="1" outlineLevel="1" x14ac:dyDescent="0.3">
      <c r="A96" s="44"/>
      <c r="B96" s="11" t="str">
        <f>CONCATENATE("          ", "5001", " - ", "PURCHASES @ COST-NEW TEXT")</f>
        <v xml:space="preserve">          5001 - PURCHASES @ COST-NEW TEXT</v>
      </c>
      <c r="C96" s="11"/>
      <c r="D96" s="2">
        <v>0</v>
      </c>
      <c r="E96" s="2"/>
      <c r="F96" s="19">
        <f t="shared" si="19"/>
        <v>0</v>
      </c>
      <c r="G96" s="2"/>
      <c r="H96" s="2">
        <v>538222.14</v>
      </c>
      <c r="I96" s="2"/>
      <c r="J96" s="19">
        <f t="shared" si="20"/>
        <v>0.24343013413999975</v>
      </c>
      <c r="K96" s="2"/>
      <c r="L96" s="2">
        <f t="shared" si="21"/>
        <v>-538222.14</v>
      </c>
      <c r="M96" s="2"/>
      <c r="N96" s="19">
        <f t="shared" si="22"/>
        <v>-1</v>
      </c>
      <c r="O96" s="11"/>
      <c r="P96" s="2">
        <v>0</v>
      </c>
      <c r="Q96" s="2"/>
      <c r="R96" s="19">
        <f t="shared" si="23"/>
        <v>0</v>
      </c>
      <c r="S96" s="2"/>
      <c r="T96" s="2">
        <v>691332.77</v>
      </c>
      <c r="U96" s="2"/>
      <c r="V96" s="19">
        <f t="shared" si="24"/>
        <v>0.25720178098861107</v>
      </c>
      <c r="W96" s="2"/>
      <c r="X96" s="2">
        <f t="shared" si="25"/>
        <v>-691332.77</v>
      </c>
      <c r="Y96" s="2"/>
      <c r="Z96" s="19">
        <f t="shared" si="26"/>
        <v>-1</v>
      </c>
    </row>
    <row r="97" spans="1:26" s="24" customFormat="1" hidden="1" outlineLevel="1" x14ac:dyDescent="0.3">
      <c r="A97" s="44"/>
      <c r="B97" s="11" t="str">
        <f>CONCATENATE("          ", "5002", " - ", "PURCHASES @ COST-USED TEXT")</f>
        <v xml:space="preserve">          5002 - PURCHASES @ COST-USED TEXT</v>
      </c>
      <c r="C97" s="11"/>
      <c r="D97" s="2">
        <v>0</v>
      </c>
      <c r="E97" s="2"/>
      <c r="F97" s="19">
        <f t="shared" si="19"/>
        <v>0</v>
      </c>
      <c r="G97" s="2"/>
      <c r="H97" s="2">
        <v>128042.67</v>
      </c>
      <c r="I97" s="2"/>
      <c r="J97" s="19">
        <f t="shared" si="20"/>
        <v>5.7911858352285031E-2</v>
      </c>
      <c r="K97" s="2"/>
      <c r="L97" s="2">
        <f t="shared" si="21"/>
        <v>-128042.67</v>
      </c>
      <c r="M97" s="2"/>
      <c r="N97" s="19">
        <f t="shared" si="22"/>
        <v>-1</v>
      </c>
      <c r="O97" s="11"/>
      <c r="P97" s="2">
        <v>0</v>
      </c>
      <c r="Q97" s="2"/>
      <c r="R97" s="19">
        <f t="shared" si="23"/>
        <v>0</v>
      </c>
      <c r="S97" s="2"/>
      <c r="T97" s="2">
        <v>188367.52</v>
      </c>
      <c r="U97" s="2"/>
      <c r="V97" s="19">
        <f t="shared" si="24"/>
        <v>7.0079799087793576E-2</v>
      </c>
      <c r="W97" s="2"/>
      <c r="X97" s="2">
        <f t="shared" si="25"/>
        <v>-188367.52</v>
      </c>
      <c r="Y97" s="2"/>
      <c r="Z97" s="19">
        <f t="shared" si="26"/>
        <v>-1</v>
      </c>
    </row>
    <row r="98" spans="1:26" s="24" customFormat="1" hidden="1" outlineLevel="1" x14ac:dyDescent="0.3">
      <c r="A98" s="44"/>
      <c r="B98" s="11" t="str">
        <f>CONCATENATE("          ", "5003", " - ", "PURCHASES @ COST-RENTAL TEXT")</f>
        <v xml:space="preserve">          5003 - PURCHASES @ COST-RENTAL TEXT</v>
      </c>
      <c r="C98" s="11"/>
      <c r="D98" s="2"/>
      <c r="E98" s="2"/>
      <c r="F98" s="19">
        <f t="shared" si="19"/>
        <v>0</v>
      </c>
      <c r="G98" s="2"/>
      <c r="H98" s="2">
        <v>58.8</v>
      </c>
      <c r="I98" s="2"/>
      <c r="J98" s="19">
        <f t="shared" si="20"/>
        <v>2.6594394439871956E-5</v>
      </c>
      <c r="K98" s="2"/>
      <c r="L98" s="2">
        <f t="shared" si="21"/>
        <v>-58.8</v>
      </c>
      <c r="M98" s="2"/>
      <c r="N98" s="19">
        <f t="shared" si="22"/>
        <v>-1</v>
      </c>
      <c r="O98" s="11"/>
      <c r="P98" s="2"/>
      <c r="Q98" s="2"/>
      <c r="R98" s="19">
        <f t="shared" si="23"/>
        <v>0</v>
      </c>
      <c r="S98" s="2"/>
      <c r="T98" s="2">
        <v>-11867.84</v>
      </c>
      <c r="U98" s="2"/>
      <c r="V98" s="19">
        <f t="shared" si="24"/>
        <v>-4.4152826496100823E-3</v>
      </c>
      <c r="W98" s="2"/>
      <c r="X98" s="2">
        <f t="shared" si="25"/>
        <v>11867.84</v>
      </c>
      <c r="Y98" s="2"/>
      <c r="Z98" s="19">
        <f t="shared" si="26"/>
        <v>-1</v>
      </c>
    </row>
    <row r="99" spans="1:26" s="24" customFormat="1" hidden="1" outlineLevel="1" x14ac:dyDescent="0.3">
      <c r="A99" s="44"/>
      <c r="B99" s="11" t="str">
        <f>CONCATENATE("          ", "5004", " - ", "PURCHASES @ COST-DIGITAL TEXT")</f>
        <v xml:space="preserve">          5004 - PURCHASES @ COST-DIGITAL TEXT</v>
      </c>
      <c r="C99" s="11"/>
      <c r="D99" s="2">
        <v>0</v>
      </c>
      <c r="E99" s="2"/>
      <c r="F99" s="19">
        <f t="shared" si="19"/>
        <v>0</v>
      </c>
      <c r="G99" s="2"/>
      <c r="H99" s="2">
        <v>117504.49</v>
      </c>
      <c r="I99" s="2"/>
      <c r="J99" s="19">
        <f t="shared" si="20"/>
        <v>5.3145591080203912E-2</v>
      </c>
      <c r="K99" s="2"/>
      <c r="L99" s="2">
        <f t="shared" si="21"/>
        <v>-117504.49</v>
      </c>
      <c r="M99" s="2"/>
      <c r="N99" s="19">
        <f t="shared" si="22"/>
        <v>-1</v>
      </c>
      <c r="O99" s="11"/>
      <c r="P99" s="2">
        <v>0</v>
      </c>
      <c r="Q99" s="2"/>
      <c r="R99" s="19">
        <f t="shared" si="23"/>
        <v>0</v>
      </c>
      <c r="S99" s="2"/>
      <c r="T99" s="2">
        <v>122429.97</v>
      </c>
      <c r="U99" s="2"/>
      <c r="V99" s="19">
        <f t="shared" si="24"/>
        <v>4.5548551575794995E-2</v>
      </c>
      <c r="W99" s="2"/>
      <c r="X99" s="2">
        <f t="shared" si="25"/>
        <v>-122429.97</v>
      </c>
      <c r="Y99" s="2"/>
      <c r="Z99" s="19">
        <f t="shared" si="26"/>
        <v>-1</v>
      </c>
    </row>
    <row r="100" spans="1:26" s="24" customFormat="1" hidden="1" outlineLevel="1" x14ac:dyDescent="0.3">
      <c r="A100" s="44"/>
      <c r="B100" s="11" t="str">
        <f>CONCATENATE("          ", "5013", " - ", "PURCHASES @ COST-TRADE BOOKS")</f>
        <v xml:space="preserve">          5013 - PURCHASES @ COST-TRADE BOOKS</v>
      </c>
      <c r="C100" s="11"/>
      <c r="D100" s="2"/>
      <c r="E100" s="2"/>
      <c r="F100" s="19">
        <f t="shared" si="19"/>
        <v>0</v>
      </c>
      <c r="G100" s="2"/>
      <c r="H100" s="2"/>
      <c r="I100" s="2"/>
      <c r="J100" s="19">
        <f t="shared" si="20"/>
        <v>0</v>
      </c>
      <c r="K100" s="2"/>
      <c r="L100" s="2">
        <f t="shared" si="21"/>
        <v>0</v>
      </c>
      <c r="M100" s="2"/>
      <c r="N100" s="19">
        <f t="shared" si="22"/>
        <v>0</v>
      </c>
      <c r="O100" s="11"/>
      <c r="P100" s="2"/>
      <c r="Q100" s="2"/>
      <c r="R100" s="19">
        <f t="shared" si="23"/>
        <v>0</v>
      </c>
      <c r="S100" s="2"/>
      <c r="T100" s="2">
        <v>108.54</v>
      </c>
      <c r="U100" s="2"/>
      <c r="V100" s="19">
        <f t="shared" si="24"/>
        <v>4.0380960544520181E-5</v>
      </c>
      <c r="W100" s="2"/>
      <c r="X100" s="2">
        <f t="shared" si="25"/>
        <v>-108.54</v>
      </c>
      <c r="Y100" s="2"/>
      <c r="Z100" s="19">
        <f t="shared" si="26"/>
        <v>-1</v>
      </c>
    </row>
    <row r="101" spans="1:26" s="24" customFormat="1" hidden="1" outlineLevel="1" x14ac:dyDescent="0.3">
      <c r="A101" s="44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19">
        <f t="shared" si="19"/>
        <v>0</v>
      </c>
      <c r="G101" s="2"/>
      <c r="H101" s="2"/>
      <c r="I101" s="2"/>
      <c r="J101" s="19">
        <f t="shared" si="20"/>
        <v>0</v>
      </c>
      <c r="K101" s="2"/>
      <c r="L101" s="2">
        <f t="shared" si="21"/>
        <v>0</v>
      </c>
      <c r="M101" s="2"/>
      <c r="N101" s="19">
        <f t="shared" si="22"/>
        <v>0</v>
      </c>
      <c r="O101" s="11"/>
      <c r="P101" s="2"/>
      <c r="Q101" s="2"/>
      <c r="R101" s="19">
        <f t="shared" si="23"/>
        <v>0</v>
      </c>
      <c r="S101" s="2"/>
      <c r="T101" s="2">
        <v>-12.51</v>
      </c>
      <c r="U101" s="2"/>
      <c r="V101" s="19">
        <f t="shared" si="24"/>
        <v>-4.6541903115160069E-6</v>
      </c>
      <c r="W101" s="2"/>
      <c r="X101" s="2">
        <f t="shared" si="25"/>
        <v>12.51</v>
      </c>
      <c r="Y101" s="2"/>
      <c r="Z101" s="19">
        <f t="shared" si="26"/>
        <v>-1</v>
      </c>
    </row>
    <row r="102" spans="1:26" s="24" customFormat="1" hidden="1" outlineLevel="1" x14ac:dyDescent="0.3">
      <c r="A102" s="44"/>
      <c r="B102" s="11" t="str">
        <f>CONCATENATE("          ", "5026", " - ", "PURCHASES @ COST-WRITING INSTR")</f>
        <v xml:space="preserve">          5026 - PURCHASES @ COST-WRITING INSTR</v>
      </c>
      <c r="C102" s="11"/>
      <c r="D102" s="2">
        <v>0</v>
      </c>
      <c r="E102" s="2"/>
      <c r="F102" s="19">
        <f t="shared" si="19"/>
        <v>0</v>
      </c>
      <c r="G102" s="2"/>
      <c r="H102" s="2"/>
      <c r="I102" s="2"/>
      <c r="J102" s="19">
        <f t="shared" si="20"/>
        <v>0</v>
      </c>
      <c r="K102" s="2"/>
      <c r="L102" s="2">
        <f t="shared" si="21"/>
        <v>0</v>
      </c>
      <c r="M102" s="2"/>
      <c r="N102" s="19">
        <f t="shared" si="22"/>
        <v>0</v>
      </c>
      <c r="O102" s="11"/>
      <c r="P102" s="2">
        <v>0</v>
      </c>
      <c r="Q102" s="2"/>
      <c r="R102" s="19">
        <f t="shared" si="23"/>
        <v>0</v>
      </c>
      <c r="S102" s="2"/>
      <c r="T102" s="2"/>
      <c r="U102" s="2"/>
      <c r="V102" s="19">
        <f t="shared" si="24"/>
        <v>0</v>
      </c>
      <c r="W102" s="2"/>
      <c r="X102" s="2">
        <f t="shared" si="25"/>
        <v>0</v>
      </c>
      <c r="Y102" s="2"/>
      <c r="Z102" s="19">
        <f t="shared" si="26"/>
        <v>0</v>
      </c>
    </row>
    <row r="103" spans="1:26" s="24" customFormat="1" hidden="1" outlineLevel="1" x14ac:dyDescent="0.3">
      <c r="A103" s="44"/>
      <c r="B103" s="11" t="str">
        <f>CONCATENATE("          ", "5027", " - ", "PURCHASES @ COST-SCHOOL SUPPLI")</f>
        <v xml:space="preserve">          5027 - PURCHASES @ COST-SCHOOL SUPPLI</v>
      </c>
      <c r="C103" s="11"/>
      <c r="D103" s="2">
        <v>0</v>
      </c>
      <c r="E103" s="2"/>
      <c r="F103" s="19">
        <f t="shared" si="19"/>
        <v>0</v>
      </c>
      <c r="G103" s="2"/>
      <c r="H103" s="2"/>
      <c r="I103" s="2"/>
      <c r="J103" s="19">
        <f t="shared" si="20"/>
        <v>0</v>
      </c>
      <c r="K103" s="2"/>
      <c r="L103" s="2">
        <f t="shared" si="21"/>
        <v>0</v>
      </c>
      <c r="M103" s="2"/>
      <c r="N103" s="19">
        <f t="shared" si="22"/>
        <v>0</v>
      </c>
      <c r="O103" s="11"/>
      <c r="P103" s="2">
        <v>0</v>
      </c>
      <c r="Q103" s="2"/>
      <c r="R103" s="19">
        <f t="shared" si="23"/>
        <v>0</v>
      </c>
      <c r="S103" s="2"/>
      <c r="T103" s="2">
        <v>8503.4</v>
      </c>
      <c r="U103" s="2"/>
      <c r="V103" s="19">
        <f t="shared" si="24"/>
        <v>3.1635844840084103E-3</v>
      </c>
      <c r="W103" s="2"/>
      <c r="X103" s="2">
        <f t="shared" si="25"/>
        <v>-8503.4</v>
      </c>
      <c r="Y103" s="2"/>
      <c r="Z103" s="19">
        <f t="shared" si="26"/>
        <v>-1</v>
      </c>
    </row>
    <row r="104" spans="1:26" s="24" customFormat="1" hidden="1" outlineLevel="1" x14ac:dyDescent="0.3">
      <c r="A104" s="44"/>
      <c r="B104" s="11" t="str">
        <f>CONCATENATE("          ", "5028", " - ", "PURCHASES @ COST-ART/TECH")</f>
        <v xml:space="preserve">          5028 - PURCHASES @ COST-ART/TECH</v>
      </c>
      <c r="C104" s="11"/>
      <c r="D104" s="2">
        <v>0</v>
      </c>
      <c r="E104" s="2"/>
      <c r="F104" s="19">
        <f t="shared" si="19"/>
        <v>0</v>
      </c>
      <c r="G104" s="2"/>
      <c r="H104" s="2"/>
      <c r="I104" s="2"/>
      <c r="J104" s="19">
        <f t="shared" si="20"/>
        <v>0</v>
      </c>
      <c r="K104" s="2"/>
      <c r="L104" s="2">
        <f t="shared" si="21"/>
        <v>0</v>
      </c>
      <c r="M104" s="2"/>
      <c r="N104" s="19">
        <f t="shared" si="22"/>
        <v>0</v>
      </c>
      <c r="O104" s="11"/>
      <c r="P104" s="2">
        <v>0</v>
      </c>
      <c r="Q104" s="2"/>
      <c r="R104" s="19">
        <f t="shared" si="23"/>
        <v>0</v>
      </c>
      <c r="S104" s="2"/>
      <c r="T104" s="2"/>
      <c r="U104" s="2"/>
      <c r="V104" s="19">
        <f t="shared" si="24"/>
        <v>0</v>
      </c>
      <c r="W104" s="2"/>
      <c r="X104" s="2">
        <f t="shared" si="25"/>
        <v>0</v>
      </c>
      <c r="Y104" s="2"/>
      <c r="Z104" s="19">
        <f t="shared" si="26"/>
        <v>0</v>
      </c>
    </row>
    <row r="105" spans="1:26" s="24" customFormat="1" hidden="1" outlineLevel="1" x14ac:dyDescent="0.3">
      <c r="A105" s="44"/>
      <c r="B105" s="11" t="str">
        <f>CONCATENATE("          ", "5031", " - ", "PURCHASES @ COST-FOOD")</f>
        <v xml:space="preserve">          5031 - PURCHASES @ COST-FOOD</v>
      </c>
      <c r="C105" s="11"/>
      <c r="D105" s="2">
        <v>0</v>
      </c>
      <c r="E105" s="2"/>
      <c r="F105" s="19">
        <f t="shared" si="19"/>
        <v>0</v>
      </c>
      <c r="G105" s="2"/>
      <c r="H105" s="2">
        <v>0</v>
      </c>
      <c r="I105" s="2"/>
      <c r="J105" s="19">
        <f t="shared" si="20"/>
        <v>0</v>
      </c>
      <c r="K105" s="2"/>
      <c r="L105" s="2">
        <f t="shared" si="21"/>
        <v>0</v>
      </c>
      <c r="M105" s="2"/>
      <c r="N105" s="19">
        <f t="shared" si="22"/>
        <v>0</v>
      </c>
      <c r="O105" s="11"/>
      <c r="P105" s="2">
        <v>0</v>
      </c>
      <c r="Q105" s="2"/>
      <c r="R105" s="19">
        <f t="shared" si="23"/>
        <v>0</v>
      </c>
      <c r="S105" s="2"/>
      <c r="T105" s="2">
        <v>0</v>
      </c>
      <c r="U105" s="2"/>
      <c r="V105" s="19">
        <f t="shared" si="24"/>
        <v>0</v>
      </c>
      <c r="W105" s="2"/>
      <c r="X105" s="2">
        <f t="shared" si="25"/>
        <v>0</v>
      </c>
      <c r="Y105" s="2"/>
      <c r="Z105" s="19">
        <f t="shared" si="26"/>
        <v>0</v>
      </c>
    </row>
    <row r="106" spans="1:26" s="24" customFormat="1" hidden="1" outlineLevel="1" x14ac:dyDescent="0.3">
      <c r="A106" s="44"/>
      <c r="B106" s="11" t="str">
        <f>CONCATENATE("          ", "5040", " - ", "PURCHASES @ COST-LOGO CLOTHING")</f>
        <v xml:space="preserve">          5040 - PURCHASES @ COST-LOGO CLOTHING</v>
      </c>
      <c r="C106" s="11"/>
      <c r="D106" s="2">
        <v>0</v>
      </c>
      <c r="E106" s="2"/>
      <c r="F106" s="19">
        <f t="shared" si="19"/>
        <v>0</v>
      </c>
      <c r="G106" s="2"/>
      <c r="H106" s="2">
        <v>7628.83</v>
      </c>
      <c r="I106" s="2"/>
      <c r="J106" s="19">
        <f t="shared" si="20"/>
        <v>3.4504101043321151E-3</v>
      </c>
      <c r="K106" s="2"/>
      <c r="L106" s="2">
        <f t="shared" si="21"/>
        <v>-7628.83</v>
      </c>
      <c r="M106" s="2"/>
      <c r="N106" s="19">
        <f t="shared" si="22"/>
        <v>-1</v>
      </c>
      <c r="O106" s="11"/>
      <c r="P106" s="2">
        <v>0</v>
      </c>
      <c r="Q106" s="2"/>
      <c r="R106" s="19">
        <f t="shared" si="23"/>
        <v>0</v>
      </c>
      <c r="S106" s="2"/>
      <c r="T106" s="2">
        <v>9351.9</v>
      </c>
      <c r="U106" s="2"/>
      <c r="V106" s="19">
        <f t="shared" si="24"/>
        <v>3.4792583832347359E-3</v>
      </c>
      <c r="W106" s="2"/>
      <c r="X106" s="2">
        <f t="shared" si="25"/>
        <v>-9351.9</v>
      </c>
      <c r="Y106" s="2"/>
      <c r="Z106" s="19">
        <f t="shared" si="26"/>
        <v>-1</v>
      </c>
    </row>
    <row r="107" spans="1:26" s="24" customFormat="1" hidden="1" outlineLevel="1" x14ac:dyDescent="0.3">
      <c r="A107" s="44"/>
      <c r="B107" s="11" t="str">
        <f>CONCATENATE("          ", "5041", " - ", "PURCHASES @ COST-LOGO GIFTS")</f>
        <v xml:space="preserve">          5041 - PURCHASES @ COST-LOGO GIFTS</v>
      </c>
      <c r="C107" s="11"/>
      <c r="D107" s="2">
        <v>0</v>
      </c>
      <c r="E107" s="2"/>
      <c r="F107" s="19">
        <f t="shared" si="19"/>
        <v>0</v>
      </c>
      <c r="G107" s="2"/>
      <c r="H107" s="2">
        <v>1843.29</v>
      </c>
      <c r="I107" s="2"/>
      <c r="J107" s="19">
        <f t="shared" si="20"/>
        <v>8.3369355998421052E-4</v>
      </c>
      <c r="K107" s="2"/>
      <c r="L107" s="2">
        <f t="shared" si="21"/>
        <v>-1843.29</v>
      </c>
      <c r="M107" s="2"/>
      <c r="N107" s="19">
        <f t="shared" si="22"/>
        <v>-1</v>
      </c>
      <c r="O107" s="11"/>
      <c r="P107" s="2">
        <v>0</v>
      </c>
      <c r="Q107" s="2"/>
      <c r="R107" s="19">
        <f t="shared" si="23"/>
        <v>0</v>
      </c>
      <c r="S107" s="2"/>
      <c r="T107" s="2">
        <v>1129.54</v>
      </c>
      <c r="U107" s="2"/>
      <c r="V107" s="19">
        <f t="shared" si="24"/>
        <v>4.2023134488167793E-4</v>
      </c>
      <c r="W107" s="2"/>
      <c r="X107" s="2">
        <f t="shared" si="25"/>
        <v>-1129.54</v>
      </c>
      <c r="Y107" s="2"/>
      <c r="Z107" s="19">
        <f t="shared" si="26"/>
        <v>-1</v>
      </c>
    </row>
    <row r="108" spans="1:26" s="24" customFormat="1" hidden="1" outlineLevel="1" x14ac:dyDescent="0.3">
      <c r="A108" s="44"/>
      <c r="B108" s="11" t="str">
        <f>CONCATENATE("          ", "5042", " - ", "PURCHASES @ COST-EVERYDAY GIFT")</f>
        <v xml:space="preserve">          5042 - PURCHASES @ COST-EVERYDAY GIFT</v>
      </c>
      <c r="C108" s="11"/>
      <c r="D108" s="2">
        <v>0</v>
      </c>
      <c r="E108" s="2"/>
      <c r="F108" s="19">
        <f t="shared" si="19"/>
        <v>0</v>
      </c>
      <c r="G108" s="2"/>
      <c r="H108" s="2">
        <v>732.99</v>
      </c>
      <c r="I108" s="2"/>
      <c r="J108" s="19">
        <f t="shared" si="20"/>
        <v>3.3152083640275079E-4</v>
      </c>
      <c r="K108" s="2"/>
      <c r="L108" s="2">
        <f t="shared" si="21"/>
        <v>-732.99</v>
      </c>
      <c r="M108" s="2"/>
      <c r="N108" s="19">
        <f t="shared" si="22"/>
        <v>-1</v>
      </c>
      <c r="O108" s="11"/>
      <c r="P108" s="2">
        <v>0</v>
      </c>
      <c r="Q108" s="2"/>
      <c r="R108" s="19">
        <f t="shared" si="23"/>
        <v>0</v>
      </c>
      <c r="S108" s="2"/>
      <c r="T108" s="2">
        <v>969.15</v>
      </c>
      <c r="U108" s="2"/>
      <c r="V108" s="19">
        <f t="shared" si="24"/>
        <v>3.6056023504442354E-4</v>
      </c>
      <c r="W108" s="2"/>
      <c r="X108" s="2">
        <f t="shared" si="25"/>
        <v>-969.15</v>
      </c>
      <c r="Y108" s="2"/>
      <c r="Z108" s="19">
        <f t="shared" si="26"/>
        <v>-1</v>
      </c>
    </row>
    <row r="109" spans="1:26" s="24" customFormat="1" hidden="1" outlineLevel="1" x14ac:dyDescent="0.3">
      <c r="A109" s="44"/>
      <c r="B109" s="11" t="str">
        <f>CONCATENATE("          ", "5043", " - ", "PURCHASES @ COST-CARDS")</f>
        <v xml:space="preserve">          5043 - PURCHASES @ COST-CARDS</v>
      </c>
      <c r="C109" s="11"/>
      <c r="D109" s="2">
        <v>0</v>
      </c>
      <c r="E109" s="2"/>
      <c r="F109" s="19">
        <f t="shared" si="19"/>
        <v>0</v>
      </c>
      <c r="G109" s="2"/>
      <c r="H109" s="2">
        <v>1406.55</v>
      </c>
      <c r="I109" s="2"/>
      <c r="J109" s="19">
        <f t="shared" si="20"/>
        <v>6.3616233842520237E-4</v>
      </c>
      <c r="K109" s="2"/>
      <c r="L109" s="2">
        <f t="shared" si="21"/>
        <v>-1406.55</v>
      </c>
      <c r="M109" s="2"/>
      <c r="N109" s="19">
        <f t="shared" si="22"/>
        <v>-1</v>
      </c>
      <c r="O109" s="11"/>
      <c r="P109" s="2">
        <v>0</v>
      </c>
      <c r="Q109" s="2"/>
      <c r="R109" s="19">
        <f t="shared" si="23"/>
        <v>0</v>
      </c>
      <c r="S109" s="2"/>
      <c r="T109" s="2">
        <v>1715.25</v>
      </c>
      <c r="U109" s="2"/>
      <c r="V109" s="19">
        <f t="shared" si="24"/>
        <v>6.3813748455857967E-4</v>
      </c>
      <c r="W109" s="2"/>
      <c r="X109" s="2">
        <f t="shared" si="25"/>
        <v>-1715.25</v>
      </c>
      <c r="Y109" s="2"/>
      <c r="Z109" s="19">
        <f t="shared" si="26"/>
        <v>-1</v>
      </c>
    </row>
    <row r="110" spans="1:26" s="24" customFormat="1" hidden="1" outlineLevel="1" x14ac:dyDescent="0.3">
      <c r="A110" s="44"/>
      <c r="B110" s="11" t="str">
        <f>CONCATENATE("          ", "5044", " - ", "PURCHASES @ COST-ACCESSORIES")</f>
        <v xml:space="preserve">          5044 - PURCHASES @ COST-ACCESSORIES</v>
      </c>
      <c r="C110" s="11"/>
      <c r="D110" s="2">
        <v>0</v>
      </c>
      <c r="E110" s="2"/>
      <c r="F110" s="19">
        <f t="shared" si="19"/>
        <v>0</v>
      </c>
      <c r="G110" s="2"/>
      <c r="H110" s="2"/>
      <c r="I110" s="2"/>
      <c r="J110" s="19">
        <f t="shared" si="20"/>
        <v>0</v>
      </c>
      <c r="K110" s="2"/>
      <c r="L110" s="2">
        <f t="shared" si="21"/>
        <v>0</v>
      </c>
      <c r="M110" s="2"/>
      <c r="N110" s="19">
        <f t="shared" si="22"/>
        <v>0</v>
      </c>
      <c r="O110" s="11"/>
      <c r="P110" s="2">
        <v>0</v>
      </c>
      <c r="Q110" s="2"/>
      <c r="R110" s="19">
        <f t="shared" si="23"/>
        <v>0</v>
      </c>
      <c r="S110" s="2"/>
      <c r="T110" s="2"/>
      <c r="U110" s="2"/>
      <c r="V110" s="19">
        <f t="shared" si="24"/>
        <v>0</v>
      </c>
      <c r="W110" s="2"/>
      <c r="X110" s="2">
        <f t="shared" si="25"/>
        <v>0</v>
      </c>
      <c r="Y110" s="2"/>
      <c r="Z110" s="19">
        <f t="shared" si="26"/>
        <v>0</v>
      </c>
    </row>
    <row r="111" spans="1:26" s="24" customFormat="1" hidden="1" outlineLevel="1" x14ac:dyDescent="0.3">
      <c r="A111" s="44"/>
      <c r="B111" s="11" t="str">
        <f>CONCATENATE("          ", "5045", " - ", "PURCHASES @ COST-SPECIAL ORDER")</f>
        <v xml:space="preserve">          5045 - PURCHASES @ COST-SPECIAL ORDER</v>
      </c>
      <c r="C111" s="11"/>
      <c r="D111" s="2">
        <v>0</v>
      </c>
      <c r="E111" s="2"/>
      <c r="F111" s="19">
        <f t="shared" si="19"/>
        <v>0</v>
      </c>
      <c r="G111" s="2"/>
      <c r="H111" s="2">
        <v>5633.96</v>
      </c>
      <c r="I111" s="2"/>
      <c r="J111" s="19">
        <f t="shared" si="20"/>
        <v>2.5481590901098813E-3</v>
      </c>
      <c r="K111" s="2"/>
      <c r="L111" s="2">
        <f t="shared" si="21"/>
        <v>-5633.96</v>
      </c>
      <c r="M111" s="2"/>
      <c r="N111" s="19">
        <f t="shared" si="22"/>
        <v>-1</v>
      </c>
      <c r="O111" s="11"/>
      <c r="P111" s="2">
        <v>0</v>
      </c>
      <c r="Q111" s="2"/>
      <c r="R111" s="19">
        <f t="shared" si="23"/>
        <v>0</v>
      </c>
      <c r="S111" s="2"/>
      <c r="T111" s="2">
        <v>8390.17</v>
      </c>
      <c r="U111" s="2"/>
      <c r="V111" s="19">
        <f t="shared" si="24"/>
        <v>3.1214586671440654E-3</v>
      </c>
      <c r="W111" s="2"/>
      <c r="X111" s="2">
        <f t="shared" si="25"/>
        <v>-8390.17</v>
      </c>
      <c r="Y111" s="2"/>
      <c r="Z111" s="19">
        <f t="shared" si="26"/>
        <v>-1</v>
      </c>
    </row>
    <row r="112" spans="1:26" s="24" customFormat="1" hidden="1" outlineLevel="1" x14ac:dyDescent="0.3">
      <c r="A112" s="44"/>
      <c r="B112" s="11" t="str">
        <f>CONCATENATE("          ", "5053", " - ", "PURCHASES @ COST-FOOD")</f>
        <v xml:space="preserve">          5053 - PURCHASES @ COST-FOOD</v>
      </c>
      <c r="C112" s="11"/>
      <c r="D112" s="2">
        <v>271762.01</v>
      </c>
      <c r="E112" s="2"/>
      <c r="F112" s="19">
        <f t="shared" si="19"/>
        <v>0.10920570260117173</v>
      </c>
      <c r="G112" s="2"/>
      <c r="H112" s="2">
        <v>78417.86</v>
      </c>
      <c r="I112" s="2"/>
      <c r="J112" s="19">
        <f t="shared" si="20"/>
        <v>3.5467270407664245E-2</v>
      </c>
      <c r="K112" s="2"/>
      <c r="L112" s="2">
        <f t="shared" si="21"/>
        <v>193344.15000000002</v>
      </c>
      <c r="M112" s="2"/>
      <c r="N112" s="19">
        <f t="shared" si="22"/>
        <v>2.465562691968386</v>
      </c>
      <c r="O112" s="11"/>
      <c r="P112" s="2">
        <v>297955.23</v>
      </c>
      <c r="Q112" s="2"/>
      <c r="R112" s="19">
        <f t="shared" si="23"/>
        <v>9.9561262486423871E-2</v>
      </c>
      <c r="S112" s="2"/>
      <c r="T112" s="2">
        <v>86471.61</v>
      </c>
      <c r="U112" s="2"/>
      <c r="V112" s="19">
        <f t="shared" si="24"/>
        <v>3.2170689806809809E-2</v>
      </c>
      <c r="W112" s="2"/>
      <c r="X112" s="2">
        <f t="shared" si="25"/>
        <v>211483.62</v>
      </c>
      <c r="Y112" s="2"/>
      <c r="Z112" s="19">
        <f t="shared" si="26"/>
        <v>2.4457000395852466</v>
      </c>
    </row>
    <row r="113" spans="1:26" s="24" customFormat="1" hidden="1" outlineLevel="1" x14ac:dyDescent="0.3">
      <c r="A113" s="44"/>
      <c r="B113" s="11" t="str">
        <f>CONCATENATE("          ", "5059", " - ", "PURCHASES @ COST-FOOD")</f>
        <v xml:space="preserve">          5059 - PURCHASES @ COST-FOOD</v>
      </c>
      <c r="C113" s="11"/>
      <c r="D113" s="2">
        <v>-79171</v>
      </c>
      <c r="E113" s="2"/>
      <c r="F113" s="19">
        <f t="shared" si="19"/>
        <v>-3.1814324160457035E-2</v>
      </c>
      <c r="G113" s="2"/>
      <c r="H113" s="2">
        <v>-30142.09</v>
      </c>
      <c r="I113" s="2"/>
      <c r="J113" s="19">
        <f t="shared" si="20"/>
        <v>-1.3632833855478234E-2</v>
      </c>
      <c r="K113" s="2"/>
      <c r="L113" s="2">
        <f t="shared" si="21"/>
        <v>-49028.91</v>
      </c>
      <c r="M113" s="2"/>
      <c r="N113" s="19">
        <f t="shared" si="22"/>
        <v>1.6265929137627817</v>
      </c>
      <c r="O113" s="11"/>
      <c r="P113" s="2">
        <v>-83176</v>
      </c>
      <c r="Q113" s="2"/>
      <c r="R113" s="19">
        <f t="shared" si="23"/>
        <v>-2.7793127070032609E-2</v>
      </c>
      <c r="S113" s="2"/>
      <c r="T113" s="2">
        <v>-26733.09</v>
      </c>
      <c r="U113" s="2"/>
      <c r="V113" s="19">
        <f t="shared" si="24"/>
        <v>-9.9457145063857281E-3</v>
      </c>
      <c r="W113" s="2"/>
      <c r="X113" s="2">
        <f t="shared" si="25"/>
        <v>-56442.91</v>
      </c>
      <c r="Y113" s="2"/>
      <c r="Z113" s="19">
        <f t="shared" si="26"/>
        <v>2.1113500160288243</v>
      </c>
    </row>
    <row r="114" spans="1:26" s="24" customFormat="1" hidden="1" outlineLevel="1" x14ac:dyDescent="0.3">
      <c r="A114" s="44"/>
      <c r="B114" s="11" t="str">
        <f>CONCATENATE("          ", "5081", " - ", "PURCHASES @ COST-ELECTRONICS")</f>
        <v xml:space="preserve">          5081 - PURCHASES @ COST-ELECTRONICS</v>
      </c>
      <c r="C114" s="11"/>
      <c r="D114" s="2">
        <v>0</v>
      </c>
      <c r="E114" s="2"/>
      <c r="F114" s="19">
        <f t="shared" si="19"/>
        <v>0</v>
      </c>
      <c r="G114" s="2"/>
      <c r="H114" s="2">
        <v>745.55</v>
      </c>
      <c r="I114" s="2"/>
      <c r="J114" s="19">
        <f t="shared" si="20"/>
        <v>3.3720154378650571E-4</v>
      </c>
      <c r="K114" s="2"/>
      <c r="L114" s="2">
        <f t="shared" si="21"/>
        <v>-745.55</v>
      </c>
      <c r="M114" s="2"/>
      <c r="N114" s="19">
        <f t="shared" si="22"/>
        <v>-1</v>
      </c>
      <c r="O114" s="11"/>
      <c r="P114" s="2">
        <v>0</v>
      </c>
      <c r="Q114" s="2"/>
      <c r="R114" s="19">
        <f t="shared" si="23"/>
        <v>0</v>
      </c>
      <c r="S114" s="2"/>
      <c r="T114" s="2">
        <v>7422.47</v>
      </c>
      <c r="U114" s="2"/>
      <c r="V114" s="19">
        <f t="shared" si="24"/>
        <v>2.7614378866121676E-3</v>
      </c>
      <c r="W114" s="2"/>
      <c r="X114" s="2">
        <f t="shared" si="25"/>
        <v>-7422.47</v>
      </c>
      <c r="Y114" s="2"/>
      <c r="Z114" s="19">
        <f t="shared" si="26"/>
        <v>-1</v>
      </c>
    </row>
    <row r="115" spans="1:26" s="24" customFormat="1" hidden="1" outlineLevel="1" x14ac:dyDescent="0.3">
      <c r="A115" s="44"/>
      <c r="B115" s="11" t="str">
        <f>CONCATENATE("          ", "5082", " - ", "PURCHASES @ COST-COMPUTER HARD")</f>
        <v xml:space="preserve">          5082 - PURCHASES @ COST-COMPUTER HARD</v>
      </c>
      <c r="C115" s="11"/>
      <c r="D115" s="2">
        <v>-23501.200000000001</v>
      </c>
      <c r="E115" s="2"/>
      <c r="F115" s="19">
        <f t="shared" si="19"/>
        <v>-9.4437962759057349E-3</v>
      </c>
      <c r="G115" s="2"/>
      <c r="H115" s="2">
        <v>56751.23</v>
      </c>
      <c r="I115" s="2"/>
      <c r="J115" s="19">
        <f t="shared" si="20"/>
        <v>2.5667765230746507E-2</v>
      </c>
      <c r="K115" s="2"/>
      <c r="L115" s="2">
        <f t="shared" si="21"/>
        <v>-80252.430000000008</v>
      </c>
      <c r="M115" s="2"/>
      <c r="N115" s="19">
        <f t="shared" si="22"/>
        <v>-1.4141090862700245</v>
      </c>
      <c r="O115" s="11"/>
      <c r="P115" s="2">
        <v>-34403.82</v>
      </c>
      <c r="Q115" s="2"/>
      <c r="R115" s="19">
        <f t="shared" si="23"/>
        <v>-1.14959813041566E-2</v>
      </c>
      <c r="S115" s="2"/>
      <c r="T115" s="2">
        <v>243223.8</v>
      </c>
      <c r="U115" s="2"/>
      <c r="V115" s="19">
        <f t="shared" si="24"/>
        <v>9.0488397561159631E-2</v>
      </c>
      <c r="W115" s="2"/>
      <c r="X115" s="2">
        <f t="shared" si="25"/>
        <v>-277627.62</v>
      </c>
      <c r="Y115" s="2"/>
      <c r="Z115" s="19">
        <f t="shared" si="26"/>
        <v>-1.1414492331753718</v>
      </c>
    </row>
    <row r="116" spans="1:26" s="24" customFormat="1" hidden="1" outlineLevel="1" x14ac:dyDescent="0.3">
      <c r="A116" s="44"/>
      <c r="B116" s="11" t="str">
        <f>CONCATENATE("          ", "5083", " - ", "PURCHASES @ COST-COMPUTER EQUI")</f>
        <v xml:space="preserve">          5083 - PURCHASES @ COST-COMPUTER EQUI</v>
      </c>
      <c r="C116" s="11"/>
      <c r="D116" s="2">
        <v>0</v>
      </c>
      <c r="E116" s="2"/>
      <c r="F116" s="19">
        <f t="shared" si="19"/>
        <v>0</v>
      </c>
      <c r="G116" s="2"/>
      <c r="H116" s="2">
        <v>7340.55</v>
      </c>
      <c r="I116" s="2"/>
      <c r="J116" s="19">
        <f t="shared" si="20"/>
        <v>3.3200252058775866E-3</v>
      </c>
      <c r="K116" s="2"/>
      <c r="L116" s="2">
        <f t="shared" si="21"/>
        <v>-7340.55</v>
      </c>
      <c r="M116" s="2"/>
      <c r="N116" s="19">
        <f t="shared" si="22"/>
        <v>-1</v>
      </c>
      <c r="O116" s="11"/>
      <c r="P116" s="2">
        <v>0</v>
      </c>
      <c r="Q116" s="2"/>
      <c r="R116" s="19">
        <f t="shared" si="23"/>
        <v>0</v>
      </c>
      <c r="S116" s="2"/>
      <c r="T116" s="2">
        <v>37278.85</v>
      </c>
      <c r="U116" s="2"/>
      <c r="V116" s="19">
        <f t="shared" si="24"/>
        <v>1.3869133692602597E-2</v>
      </c>
      <c r="W116" s="2"/>
      <c r="X116" s="2">
        <f t="shared" si="25"/>
        <v>-37278.85</v>
      </c>
      <c r="Y116" s="2"/>
      <c r="Z116" s="19">
        <f t="shared" si="26"/>
        <v>-1</v>
      </c>
    </row>
    <row r="117" spans="1:26" s="24" customFormat="1" hidden="1" outlineLevel="1" x14ac:dyDescent="0.3">
      <c r="A117" s="44"/>
      <c r="B117" s="11" t="str">
        <f>CONCATENATE("          ", "5085", " - ", "PURCHASES @ COST-SOFTWARE")</f>
        <v xml:space="preserve">          5085 - PURCHASES @ COST-SOFTWARE</v>
      </c>
      <c r="C117" s="11"/>
      <c r="D117" s="2">
        <v>0</v>
      </c>
      <c r="E117" s="2"/>
      <c r="F117" s="19">
        <f t="shared" si="19"/>
        <v>0</v>
      </c>
      <c r="G117" s="2"/>
      <c r="H117" s="2">
        <v>2364.2199999999998</v>
      </c>
      <c r="I117" s="2"/>
      <c r="J117" s="19">
        <f t="shared" si="20"/>
        <v>1.0693027078679264E-3</v>
      </c>
      <c r="K117" s="2"/>
      <c r="L117" s="2">
        <f t="shared" si="21"/>
        <v>-2364.2199999999998</v>
      </c>
      <c r="M117" s="2"/>
      <c r="N117" s="19">
        <f t="shared" si="22"/>
        <v>-1</v>
      </c>
      <c r="O117" s="11"/>
      <c r="P117" s="2">
        <v>0</v>
      </c>
      <c r="Q117" s="2"/>
      <c r="R117" s="19">
        <f t="shared" si="23"/>
        <v>0</v>
      </c>
      <c r="S117" s="2"/>
      <c r="T117" s="2">
        <v>6228.56</v>
      </c>
      <c r="U117" s="2"/>
      <c r="V117" s="19">
        <f t="shared" si="24"/>
        <v>2.3172584817502911E-3</v>
      </c>
      <c r="W117" s="2"/>
      <c r="X117" s="2">
        <f t="shared" si="25"/>
        <v>-6228.56</v>
      </c>
      <c r="Y117" s="2"/>
      <c r="Z117" s="19">
        <f t="shared" si="26"/>
        <v>-1</v>
      </c>
    </row>
    <row r="118" spans="1:26" s="24" customFormat="1" hidden="1" outlineLevel="1" x14ac:dyDescent="0.3">
      <c r="A118" s="44"/>
      <c r="B118" s="11" t="str">
        <f>CONCATENATE("          ", "5086", " - ", "PURCHASES @ COST-COMPUTER SUPP")</f>
        <v xml:space="preserve">          5086 - PURCHASES @ COST-COMPUTER SUPP</v>
      </c>
      <c r="C118" s="11"/>
      <c r="D118" s="2">
        <v>0</v>
      </c>
      <c r="E118" s="2"/>
      <c r="F118" s="19">
        <f t="shared" si="19"/>
        <v>0</v>
      </c>
      <c r="G118" s="2"/>
      <c r="H118" s="2">
        <v>21649.96</v>
      </c>
      <c r="I118" s="2"/>
      <c r="J118" s="19">
        <f t="shared" si="20"/>
        <v>9.7919655756369094E-3</v>
      </c>
      <c r="K118" s="2"/>
      <c r="L118" s="2">
        <f t="shared" si="21"/>
        <v>-21649.96</v>
      </c>
      <c r="M118" s="2"/>
      <c r="N118" s="19">
        <f t="shared" si="22"/>
        <v>-1</v>
      </c>
      <c r="O118" s="11"/>
      <c r="P118" s="2">
        <v>0</v>
      </c>
      <c r="Q118" s="2"/>
      <c r="R118" s="19">
        <f t="shared" si="23"/>
        <v>0</v>
      </c>
      <c r="S118" s="2"/>
      <c r="T118" s="2">
        <v>21737.21</v>
      </c>
      <c r="U118" s="2"/>
      <c r="V118" s="19">
        <f t="shared" si="24"/>
        <v>8.0870593270494697E-3</v>
      </c>
      <c r="W118" s="2"/>
      <c r="X118" s="2">
        <f t="shared" si="25"/>
        <v>-21737.21</v>
      </c>
      <c r="Y118" s="2"/>
      <c r="Z118" s="19">
        <f t="shared" si="26"/>
        <v>-1</v>
      </c>
    </row>
    <row r="119" spans="1:26" s="24" customFormat="1" hidden="1" outlineLevel="1" x14ac:dyDescent="0.3">
      <c r="A119" s="44"/>
      <c r="B119" s="11" t="str">
        <f>CONCATENATE("          ", "5092", " - ", "PURCHASES @ COST-GRAD MERCH")</f>
        <v xml:space="preserve">          5092 - PURCHASES @ COST-GRAD MERCH</v>
      </c>
      <c r="C119" s="11"/>
      <c r="D119" s="2"/>
      <c r="E119" s="2"/>
      <c r="F119" s="19">
        <f t="shared" si="19"/>
        <v>0</v>
      </c>
      <c r="G119" s="2"/>
      <c r="H119" s="2"/>
      <c r="I119" s="2"/>
      <c r="J119" s="19">
        <f t="shared" si="20"/>
        <v>0</v>
      </c>
      <c r="K119" s="2"/>
      <c r="L119" s="2">
        <f t="shared" si="21"/>
        <v>0</v>
      </c>
      <c r="M119" s="2"/>
      <c r="N119" s="19">
        <f t="shared" si="22"/>
        <v>0</v>
      </c>
      <c r="O119" s="11"/>
      <c r="P119" s="2"/>
      <c r="Q119" s="2"/>
      <c r="R119" s="19">
        <f t="shared" si="23"/>
        <v>0</v>
      </c>
      <c r="S119" s="2"/>
      <c r="T119" s="2">
        <v>0</v>
      </c>
      <c r="U119" s="2"/>
      <c r="V119" s="19">
        <f t="shared" si="24"/>
        <v>0</v>
      </c>
      <c r="W119" s="2"/>
      <c r="X119" s="2">
        <f t="shared" si="25"/>
        <v>0</v>
      </c>
      <c r="Y119" s="2"/>
      <c r="Z119" s="19">
        <f t="shared" si="26"/>
        <v>0</v>
      </c>
    </row>
    <row r="120" spans="1:26" s="24" customFormat="1" hidden="1" outlineLevel="1" x14ac:dyDescent="0.3">
      <c r="A120" s="44"/>
      <c r="B120" s="11" t="str">
        <f>CONCATENATE("          ", "5200", " - ", "PURCHASES OFFSET")</f>
        <v xml:space="preserve">          5200 - PURCHASES OFFSET</v>
      </c>
      <c r="C120" s="11"/>
      <c r="D120" s="2">
        <v>-589608.85</v>
      </c>
      <c r="E120" s="2"/>
      <c r="F120" s="19">
        <f t="shared" si="19"/>
        <v>-0.23693027853348181</v>
      </c>
      <c r="G120" s="2"/>
      <c r="H120" s="2">
        <v>-586112.93000000005</v>
      </c>
      <c r="I120" s="2"/>
      <c r="J120" s="19">
        <f t="shared" si="20"/>
        <v>-0.26509044977430379</v>
      </c>
      <c r="K120" s="2"/>
      <c r="L120" s="2">
        <f t="shared" si="21"/>
        <v>-3495.9199999999255</v>
      </c>
      <c r="M120" s="2"/>
      <c r="N120" s="19">
        <f t="shared" si="22"/>
        <v>5.9645843336026136E-3</v>
      </c>
      <c r="O120" s="11"/>
      <c r="P120" s="2">
        <v>-1033340.17</v>
      </c>
      <c r="Q120" s="2"/>
      <c r="R120" s="19">
        <f t="shared" si="23"/>
        <v>-0.34528896137562637</v>
      </c>
      <c r="S120" s="2"/>
      <c r="T120" s="2">
        <v>-1028934.98</v>
      </c>
      <c r="U120" s="2"/>
      <c r="V120" s="19">
        <f t="shared" si="24"/>
        <v>-0.38280249521150411</v>
      </c>
      <c r="W120" s="2"/>
      <c r="X120" s="2">
        <f t="shared" si="25"/>
        <v>-4405.1900000000605</v>
      </c>
      <c r="Y120" s="2"/>
      <c r="Z120" s="19">
        <f t="shared" si="26"/>
        <v>4.2813103700683405E-3</v>
      </c>
    </row>
    <row r="121" spans="1:26" s="24" customFormat="1" hidden="1" outlineLevel="1" x14ac:dyDescent="0.3">
      <c r="A121" s="44"/>
      <c r="B121" s="11" t="str">
        <f>CONCATENATE("          ", "5300", " - ", "COG$ OFFSET")</f>
        <v xml:space="preserve">          5300 - COG$ OFFSET</v>
      </c>
      <c r="C121" s="11"/>
      <c r="D121" s="2">
        <v>1104681.67</v>
      </c>
      <c r="E121" s="2"/>
      <c r="F121" s="19">
        <f t="shared" si="19"/>
        <v>0.44390876385917855</v>
      </c>
      <c r="G121" s="2"/>
      <c r="H121" s="2">
        <v>1248893</v>
      </c>
      <c r="I121" s="2"/>
      <c r="J121" s="19">
        <f t="shared" si="20"/>
        <v>0.56485634447610555</v>
      </c>
      <c r="K121" s="2"/>
      <c r="L121" s="2">
        <f t="shared" si="21"/>
        <v>-144211.33000000007</v>
      </c>
      <c r="M121" s="2"/>
      <c r="N121" s="19">
        <f t="shared" si="22"/>
        <v>-0.11547132540577942</v>
      </c>
      <c r="O121" s="11"/>
      <c r="P121" s="2">
        <v>1323367.17</v>
      </c>
      <c r="Q121" s="2"/>
      <c r="R121" s="19">
        <f t="shared" si="23"/>
        <v>0.44220101851639226</v>
      </c>
      <c r="S121" s="2"/>
      <c r="T121" s="2">
        <v>1568477</v>
      </c>
      <c r="U121" s="2"/>
      <c r="V121" s="19">
        <f t="shared" si="24"/>
        <v>0.58353241065033512</v>
      </c>
      <c r="W121" s="2"/>
      <c r="X121" s="2">
        <f t="shared" si="25"/>
        <v>-245109.83000000007</v>
      </c>
      <c r="Y121" s="2"/>
      <c r="Z121" s="19">
        <f t="shared" si="26"/>
        <v>-0.15627250511164656</v>
      </c>
    </row>
    <row r="122" spans="1:26" s="24" customFormat="1" hidden="1" outlineLevel="1" x14ac:dyDescent="0.3">
      <c r="A122" s="44"/>
      <c r="B122" s="11" t="str">
        <f>CONCATENATE("          ", "5500", " - ", "FREIGHT-IN")</f>
        <v xml:space="preserve">          5500 - FREIGHT-IN</v>
      </c>
      <c r="C122" s="11"/>
      <c r="D122" s="2">
        <v>6605.18</v>
      </c>
      <c r="E122" s="2"/>
      <c r="F122" s="19">
        <f t="shared" si="19"/>
        <v>2.6542463485135668E-3</v>
      </c>
      <c r="G122" s="2"/>
      <c r="H122" s="2">
        <v>0</v>
      </c>
      <c r="I122" s="2"/>
      <c r="J122" s="19">
        <f t="shared" si="20"/>
        <v>0</v>
      </c>
      <c r="K122" s="2"/>
      <c r="L122" s="2">
        <f t="shared" si="21"/>
        <v>6605.18</v>
      </c>
      <c r="M122" s="2"/>
      <c r="N122" s="19">
        <f t="shared" si="22"/>
        <v>0</v>
      </c>
      <c r="O122" s="11"/>
      <c r="P122" s="2">
        <v>10210.32</v>
      </c>
      <c r="Q122" s="2"/>
      <c r="R122" s="19">
        <f t="shared" si="23"/>
        <v>3.411762060999511E-3</v>
      </c>
      <c r="S122" s="2"/>
      <c r="T122" s="2">
        <v>0</v>
      </c>
      <c r="U122" s="2"/>
      <c r="V122" s="19">
        <f t="shared" si="24"/>
        <v>0</v>
      </c>
      <c r="W122" s="2"/>
      <c r="X122" s="2">
        <f t="shared" si="25"/>
        <v>10210.32</v>
      </c>
      <c r="Y122" s="2"/>
      <c r="Z122" s="19">
        <f t="shared" si="26"/>
        <v>0</v>
      </c>
    </row>
    <row r="123" spans="1:26" s="24" customFormat="1" hidden="1" outlineLevel="1" x14ac:dyDescent="0.3">
      <c r="A123" s="44"/>
      <c r="B123" s="11" t="str">
        <f>CONCATENATE("          ", "5501", " - ", "FREIGHT-IN-NEW TEXT")</f>
        <v xml:space="preserve">          5501 - FREIGHT-IN-NEW TEXT</v>
      </c>
      <c r="C123" s="11"/>
      <c r="D123" s="2">
        <v>0</v>
      </c>
      <c r="E123" s="2"/>
      <c r="F123" s="19">
        <f t="shared" si="19"/>
        <v>0</v>
      </c>
      <c r="G123" s="2"/>
      <c r="H123" s="2">
        <v>4680.5600000000004</v>
      </c>
      <c r="I123" s="2"/>
      <c r="J123" s="19">
        <f t="shared" si="20"/>
        <v>2.116949980263386E-3</v>
      </c>
      <c r="K123" s="2"/>
      <c r="L123" s="2">
        <f t="shared" si="21"/>
        <v>-4680.5600000000004</v>
      </c>
      <c r="M123" s="2"/>
      <c r="N123" s="19">
        <f t="shared" si="22"/>
        <v>-1</v>
      </c>
      <c r="O123" s="11"/>
      <c r="P123" s="2">
        <v>0</v>
      </c>
      <c r="Q123" s="2"/>
      <c r="R123" s="19">
        <f t="shared" si="23"/>
        <v>0</v>
      </c>
      <c r="S123" s="2"/>
      <c r="T123" s="2">
        <v>5483.28</v>
      </c>
      <c r="U123" s="2"/>
      <c r="V123" s="19">
        <f t="shared" si="24"/>
        <v>2.0399863030639083E-3</v>
      </c>
      <c r="W123" s="2"/>
      <c r="X123" s="2">
        <f t="shared" si="25"/>
        <v>-5483.28</v>
      </c>
      <c r="Y123" s="2"/>
      <c r="Z123" s="19">
        <f t="shared" si="26"/>
        <v>-1</v>
      </c>
    </row>
    <row r="124" spans="1:26" s="24" customFormat="1" hidden="1" outlineLevel="1" x14ac:dyDescent="0.3">
      <c r="A124" s="44"/>
      <c r="B124" s="11" t="str">
        <f>CONCATENATE("          ", "5502", " - ", "FREIGHT-IN-USED TEXT")</f>
        <v xml:space="preserve">          5502 - FREIGHT-IN-USED TEXT</v>
      </c>
      <c r="C124" s="11"/>
      <c r="D124" s="2">
        <v>0</v>
      </c>
      <c r="E124" s="2"/>
      <c r="F124" s="19">
        <f t="shared" si="19"/>
        <v>0</v>
      </c>
      <c r="G124" s="2"/>
      <c r="H124" s="2">
        <v>1186.6600000000001</v>
      </c>
      <c r="I124" s="2"/>
      <c r="J124" s="19">
        <f t="shared" si="20"/>
        <v>5.3670925350371532E-4</v>
      </c>
      <c r="K124" s="2"/>
      <c r="L124" s="2">
        <f t="shared" si="21"/>
        <v>-1186.6600000000001</v>
      </c>
      <c r="M124" s="2"/>
      <c r="N124" s="19">
        <f t="shared" si="22"/>
        <v>-1</v>
      </c>
      <c r="O124" s="11"/>
      <c r="P124" s="2">
        <v>0</v>
      </c>
      <c r="Q124" s="2"/>
      <c r="R124" s="19">
        <f t="shared" si="23"/>
        <v>0</v>
      </c>
      <c r="S124" s="2"/>
      <c r="T124" s="2">
        <v>1234.55</v>
      </c>
      <c r="U124" s="2"/>
      <c r="V124" s="19">
        <f t="shared" si="24"/>
        <v>4.5929901271639378E-4</v>
      </c>
      <c r="W124" s="2"/>
      <c r="X124" s="2">
        <f t="shared" si="25"/>
        <v>-1234.55</v>
      </c>
      <c r="Y124" s="2"/>
      <c r="Z124" s="19">
        <f t="shared" si="26"/>
        <v>-1</v>
      </c>
    </row>
    <row r="125" spans="1:26" s="24" customFormat="1" hidden="1" outlineLevel="1" x14ac:dyDescent="0.3">
      <c r="A125" s="44"/>
      <c r="B125" s="11" t="str">
        <f>CONCATENATE("          ", "5518", " - ", "FREIGHT-IN-STUDY GUIDES")</f>
        <v xml:space="preserve">          5518 - FREIGHT-IN-STUDY GUIDES</v>
      </c>
      <c r="C125" s="11"/>
      <c r="D125" s="2"/>
      <c r="E125" s="2"/>
      <c r="F125" s="19">
        <f t="shared" si="19"/>
        <v>0</v>
      </c>
      <c r="G125" s="2"/>
      <c r="H125" s="2"/>
      <c r="I125" s="2"/>
      <c r="J125" s="19">
        <f t="shared" si="20"/>
        <v>0</v>
      </c>
      <c r="K125" s="2"/>
      <c r="L125" s="2">
        <f t="shared" si="21"/>
        <v>0</v>
      </c>
      <c r="M125" s="2"/>
      <c r="N125" s="19">
        <f t="shared" si="22"/>
        <v>0</v>
      </c>
      <c r="O125" s="11"/>
      <c r="P125" s="2">
        <v>0</v>
      </c>
      <c r="Q125" s="2"/>
      <c r="R125" s="19">
        <f t="shared" si="23"/>
        <v>0</v>
      </c>
      <c r="S125" s="2"/>
      <c r="T125" s="2"/>
      <c r="U125" s="2"/>
      <c r="V125" s="19">
        <f t="shared" si="24"/>
        <v>0</v>
      </c>
      <c r="W125" s="2"/>
      <c r="X125" s="2">
        <f t="shared" si="25"/>
        <v>0</v>
      </c>
      <c r="Y125" s="2"/>
      <c r="Z125" s="19">
        <f t="shared" si="26"/>
        <v>0</v>
      </c>
    </row>
    <row r="126" spans="1:26" s="24" customFormat="1" hidden="1" outlineLevel="1" x14ac:dyDescent="0.3">
      <c r="A126" s="44"/>
      <c r="B126" s="11" t="str">
        <f>CONCATENATE("          ", "5527", " - ", "FREIGHT-IN-SCHOOL SUPPLIES")</f>
        <v xml:space="preserve">          5527 - FREIGHT-IN-SCHOOL SUPPLIES</v>
      </c>
      <c r="C126" s="11"/>
      <c r="D126" s="2">
        <v>0</v>
      </c>
      <c r="E126" s="2"/>
      <c r="F126" s="19">
        <f t="shared" si="19"/>
        <v>0</v>
      </c>
      <c r="G126" s="2"/>
      <c r="H126" s="2"/>
      <c r="I126" s="2"/>
      <c r="J126" s="19">
        <f t="shared" si="20"/>
        <v>0</v>
      </c>
      <c r="K126" s="2"/>
      <c r="L126" s="2">
        <f t="shared" si="21"/>
        <v>0</v>
      </c>
      <c r="M126" s="2"/>
      <c r="N126" s="19">
        <f t="shared" si="22"/>
        <v>0</v>
      </c>
      <c r="O126" s="11"/>
      <c r="P126" s="2">
        <v>0</v>
      </c>
      <c r="Q126" s="2"/>
      <c r="R126" s="19">
        <f t="shared" si="23"/>
        <v>0</v>
      </c>
      <c r="S126" s="2"/>
      <c r="T126" s="2"/>
      <c r="U126" s="2"/>
      <c r="V126" s="19">
        <f t="shared" si="24"/>
        <v>0</v>
      </c>
      <c r="W126" s="2"/>
      <c r="X126" s="2">
        <f t="shared" si="25"/>
        <v>0</v>
      </c>
      <c r="Y126" s="2"/>
      <c r="Z126" s="19">
        <f t="shared" si="26"/>
        <v>0</v>
      </c>
    </row>
    <row r="127" spans="1:26" s="24" customFormat="1" hidden="1" outlineLevel="1" x14ac:dyDescent="0.3">
      <c r="A127" s="44"/>
      <c r="B127" s="11" t="str">
        <f>CONCATENATE("          ", "5528", " - ", "FREIGHT-IN-ART/TECH")</f>
        <v xml:space="preserve">          5528 - FREIGHT-IN-ART/TECH</v>
      </c>
      <c r="C127" s="11"/>
      <c r="D127" s="2">
        <v>0</v>
      </c>
      <c r="E127" s="2"/>
      <c r="F127" s="19">
        <f t="shared" si="19"/>
        <v>0</v>
      </c>
      <c r="G127" s="2"/>
      <c r="H127" s="2"/>
      <c r="I127" s="2"/>
      <c r="J127" s="19">
        <f t="shared" si="20"/>
        <v>0</v>
      </c>
      <c r="K127" s="2"/>
      <c r="L127" s="2">
        <f t="shared" si="21"/>
        <v>0</v>
      </c>
      <c r="M127" s="2"/>
      <c r="N127" s="19">
        <f t="shared" si="22"/>
        <v>0</v>
      </c>
      <c r="O127" s="11"/>
      <c r="P127" s="2">
        <v>0</v>
      </c>
      <c r="Q127" s="2"/>
      <c r="R127" s="19">
        <f t="shared" si="23"/>
        <v>0</v>
      </c>
      <c r="S127" s="2"/>
      <c r="T127" s="2">
        <v>38.049999999999997</v>
      </c>
      <c r="U127" s="2"/>
      <c r="V127" s="19">
        <f t="shared" si="24"/>
        <v>1.415603048386763E-5</v>
      </c>
      <c r="W127" s="2"/>
      <c r="X127" s="2">
        <f t="shared" si="25"/>
        <v>-38.049999999999997</v>
      </c>
      <c r="Y127" s="2"/>
      <c r="Z127" s="19">
        <f t="shared" si="26"/>
        <v>-1</v>
      </c>
    </row>
    <row r="128" spans="1:26" s="24" customFormat="1" hidden="1" outlineLevel="1" x14ac:dyDescent="0.3">
      <c r="A128" s="44"/>
      <c r="B128" s="11" t="str">
        <f>CONCATENATE("          ", "5540", " - ", "FREIGHT-IN-LOGO CLOTHING")</f>
        <v xml:space="preserve">          5540 - FREIGHT-IN-LOGO CLOTHING</v>
      </c>
      <c r="C128" s="11"/>
      <c r="D128" s="2">
        <v>0</v>
      </c>
      <c r="E128" s="2"/>
      <c r="F128" s="19">
        <f t="shared" si="19"/>
        <v>0</v>
      </c>
      <c r="G128" s="2"/>
      <c r="H128" s="2">
        <v>1021.7</v>
      </c>
      <c r="I128" s="2"/>
      <c r="J128" s="19">
        <f t="shared" si="20"/>
        <v>4.6210021767376157E-4</v>
      </c>
      <c r="K128" s="2"/>
      <c r="L128" s="2">
        <f t="shared" si="21"/>
        <v>-1021.7</v>
      </c>
      <c r="M128" s="2"/>
      <c r="N128" s="19">
        <f t="shared" si="22"/>
        <v>-1</v>
      </c>
      <c r="O128" s="11"/>
      <c r="P128" s="2">
        <v>0</v>
      </c>
      <c r="Q128" s="2"/>
      <c r="R128" s="19">
        <f t="shared" si="23"/>
        <v>0</v>
      </c>
      <c r="S128" s="2"/>
      <c r="T128" s="2">
        <v>1931.53</v>
      </c>
      <c r="U128" s="2"/>
      <c r="V128" s="19">
        <f t="shared" si="24"/>
        <v>7.1860177557174368E-4</v>
      </c>
      <c r="W128" s="2"/>
      <c r="X128" s="2">
        <f t="shared" si="25"/>
        <v>-1931.53</v>
      </c>
      <c r="Y128" s="2"/>
      <c r="Z128" s="19">
        <f t="shared" si="26"/>
        <v>-1</v>
      </c>
    </row>
    <row r="129" spans="1:26" s="24" customFormat="1" hidden="1" outlineLevel="1" x14ac:dyDescent="0.3">
      <c r="A129" s="44"/>
      <c r="B129" s="11" t="str">
        <f>CONCATENATE("          ", "5541", " - ", "FREIGHT-IN-LOGO GIFTS")</f>
        <v xml:space="preserve">          5541 - FREIGHT-IN-LOGO GIFTS</v>
      </c>
      <c r="C129" s="11"/>
      <c r="D129" s="2">
        <v>0</v>
      </c>
      <c r="E129" s="2"/>
      <c r="F129" s="19">
        <f t="shared" si="19"/>
        <v>0</v>
      </c>
      <c r="G129" s="2"/>
      <c r="H129" s="2">
        <v>123.12</v>
      </c>
      <c r="I129" s="2"/>
      <c r="J129" s="19">
        <f t="shared" si="20"/>
        <v>5.5685405500629853E-5</v>
      </c>
      <c r="K129" s="2"/>
      <c r="L129" s="2">
        <f t="shared" si="21"/>
        <v>-123.12</v>
      </c>
      <c r="M129" s="2"/>
      <c r="N129" s="19">
        <f t="shared" si="22"/>
        <v>-1</v>
      </c>
      <c r="O129" s="11"/>
      <c r="P129" s="2">
        <v>0</v>
      </c>
      <c r="Q129" s="2"/>
      <c r="R129" s="19">
        <f t="shared" si="23"/>
        <v>0</v>
      </c>
      <c r="S129" s="2"/>
      <c r="T129" s="2">
        <v>206.7</v>
      </c>
      <c r="U129" s="2"/>
      <c r="V129" s="19">
        <f t="shared" si="24"/>
        <v>7.6900170854545056E-5</v>
      </c>
      <c r="W129" s="2"/>
      <c r="X129" s="2">
        <f t="shared" si="25"/>
        <v>-206.7</v>
      </c>
      <c r="Y129" s="2"/>
      <c r="Z129" s="19">
        <f t="shared" si="26"/>
        <v>-1</v>
      </c>
    </row>
    <row r="130" spans="1:26" s="24" customFormat="1" hidden="1" outlineLevel="1" x14ac:dyDescent="0.3">
      <c r="A130" s="44"/>
      <c r="B130" s="11" t="str">
        <f>CONCATENATE("          ", "5542", " - ", "FREIGHT-IN-EVERYDAY GIFTS")</f>
        <v xml:space="preserve">          5542 - FREIGHT-IN-EVERYDAY GIFTS</v>
      </c>
      <c r="C130" s="11"/>
      <c r="D130" s="2">
        <v>0</v>
      </c>
      <c r="E130" s="2"/>
      <c r="F130" s="19">
        <f t="shared" si="19"/>
        <v>0</v>
      </c>
      <c r="G130" s="2"/>
      <c r="H130" s="2"/>
      <c r="I130" s="2"/>
      <c r="J130" s="19">
        <f t="shared" si="20"/>
        <v>0</v>
      </c>
      <c r="K130" s="2"/>
      <c r="L130" s="2">
        <f t="shared" si="21"/>
        <v>0</v>
      </c>
      <c r="M130" s="2"/>
      <c r="N130" s="19">
        <f t="shared" si="22"/>
        <v>0</v>
      </c>
      <c r="O130" s="11"/>
      <c r="P130" s="2">
        <v>0</v>
      </c>
      <c r="Q130" s="2"/>
      <c r="R130" s="19">
        <f t="shared" si="23"/>
        <v>0</v>
      </c>
      <c r="S130" s="2"/>
      <c r="T130" s="2">
        <v>5.94</v>
      </c>
      <c r="U130" s="2"/>
      <c r="V130" s="19">
        <f t="shared" si="24"/>
        <v>2.2099033133817013E-6</v>
      </c>
      <c r="W130" s="2"/>
      <c r="X130" s="2">
        <f t="shared" si="25"/>
        <v>-5.94</v>
      </c>
      <c r="Y130" s="2"/>
      <c r="Z130" s="19">
        <f t="shared" si="26"/>
        <v>-1</v>
      </c>
    </row>
    <row r="131" spans="1:26" s="24" customFormat="1" hidden="1" outlineLevel="1" x14ac:dyDescent="0.3">
      <c r="A131" s="44"/>
      <c r="B131" s="11" t="str">
        <f>CONCATENATE("          ", "5544", " - ", "FREIGHT-IN-ACCESSORIES")</f>
        <v xml:space="preserve">          5544 - FREIGHT-IN-ACCESSORIES</v>
      </c>
      <c r="C131" s="11"/>
      <c r="D131" s="2">
        <v>0</v>
      </c>
      <c r="E131" s="2"/>
      <c r="F131" s="19">
        <f t="shared" si="19"/>
        <v>0</v>
      </c>
      <c r="G131" s="2"/>
      <c r="H131" s="2"/>
      <c r="I131" s="2"/>
      <c r="J131" s="19">
        <f t="shared" si="20"/>
        <v>0</v>
      </c>
      <c r="K131" s="2"/>
      <c r="L131" s="2">
        <f t="shared" si="21"/>
        <v>0</v>
      </c>
      <c r="M131" s="2"/>
      <c r="N131" s="19">
        <f t="shared" si="22"/>
        <v>0</v>
      </c>
      <c r="O131" s="11"/>
      <c r="P131" s="2">
        <v>0</v>
      </c>
      <c r="Q131" s="2"/>
      <c r="R131" s="19">
        <f t="shared" si="23"/>
        <v>0</v>
      </c>
      <c r="S131" s="2"/>
      <c r="T131" s="2"/>
      <c r="U131" s="2"/>
      <c r="V131" s="19">
        <f t="shared" si="24"/>
        <v>0</v>
      </c>
      <c r="W131" s="2"/>
      <c r="X131" s="2">
        <f t="shared" si="25"/>
        <v>0</v>
      </c>
      <c r="Y131" s="2"/>
      <c r="Z131" s="19">
        <f t="shared" si="26"/>
        <v>0</v>
      </c>
    </row>
    <row r="132" spans="1:26" s="24" customFormat="1" hidden="1" outlineLevel="1" x14ac:dyDescent="0.3">
      <c r="A132" s="44"/>
      <c r="B132" s="11" t="str">
        <f>CONCATENATE("          ", "5545", " - ", "FREIGHT-IN-SPECIAL ORDERS")</f>
        <v xml:space="preserve">          5545 - FREIGHT-IN-SPECIAL ORDERS</v>
      </c>
      <c r="C132" s="11"/>
      <c r="D132" s="2">
        <v>0</v>
      </c>
      <c r="E132" s="2"/>
      <c r="F132" s="19">
        <f t="shared" si="19"/>
        <v>0</v>
      </c>
      <c r="G132" s="2"/>
      <c r="H132" s="2">
        <v>145.6</v>
      </c>
      <c r="I132" s="2"/>
      <c r="J132" s="19">
        <f t="shared" si="20"/>
        <v>6.5852786232063889E-5</v>
      </c>
      <c r="K132" s="2"/>
      <c r="L132" s="2">
        <f t="shared" si="21"/>
        <v>-145.6</v>
      </c>
      <c r="M132" s="2"/>
      <c r="N132" s="19">
        <f t="shared" si="22"/>
        <v>-1</v>
      </c>
      <c r="O132" s="11"/>
      <c r="P132" s="2">
        <v>0</v>
      </c>
      <c r="Q132" s="2"/>
      <c r="R132" s="19">
        <f t="shared" si="23"/>
        <v>0</v>
      </c>
      <c r="S132" s="2"/>
      <c r="T132" s="2">
        <v>446</v>
      </c>
      <c r="U132" s="2"/>
      <c r="V132" s="19">
        <f t="shared" si="24"/>
        <v>1.6592876730105031E-4</v>
      </c>
      <c r="W132" s="2"/>
      <c r="X132" s="2">
        <f t="shared" si="25"/>
        <v>-446</v>
      </c>
      <c r="Y132" s="2"/>
      <c r="Z132" s="19">
        <f t="shared" si="26"/>
        <v>-1</v>
      </c>
    </row>
    <row r="133" spans="1:26" s="24" customFormat="1" hidden="1" outlineLevel="1" x14ac:dyDescent="0.3">
      <c r="A133" s="44"/>
      <c r="B133" s="11" t="str">
        <f>CONCATENATE("          ", "5583", " - ", "FREIGHT-IN-COMPUTER EQUIPMENT")</f>
        <v xml:space="preserve">          5583 - FREIGHT-IN-COMPUTER EQUIPMENT</v>
      </c>
      <c r="C133" s="11"/>
      <c r="D133" s="2">
        <v>0</v>
      </c>
      <c r="E133" s="2"/>
      <c r="F133" s="19">
        <f t="shared" si="19"/>
        <v>0</v>
      </c>
      <c r="G133" s="2"/>
      <c r="H133" s="2"/>
      <c r="I133" s="2"/>
      <c r="J133" s="19">
        <f t="shared" si="20"/>
        <v>0</v>
      </c>
      <c r="K133" s="2"/>
      <c r="L133" s="2">
        <f t="shared" si="21"/>
        <v>0</v>
      </c>
      <c r="M133" s="2"/>
      <c r="N133" s="19">
        <f t="shared" si="22"/>
        <v>0</v>
      </c>
      <c r="O133" s="11"/>
      <c r="P133" s="2">
        <v>0</v>
      </c>
      <c r="Q133" s="2"/>
      <c r="R133" s="19">
        <f t="shared" si="23"/>
        <v>0</v>
      </c>
      <c r="S133" s="2"/>
      <c r="T133" s="2">
        <v>17.39</v>
      </c>
      <c r="U133" s="2"/>
      <c r="V133" s="19">
        <f t="shared" si="24"/>
        <v>6.4697337743615806E-6</v>
      </c>
      <c r="W133" s="2"/>
      <c r="X133" s="2">
        <f t="shared" si="25"/>
        <v>-17.39</v>
      </c>
      <c r="Y133" s="2"/>
      <c r="Z133" s="19">
        <f t="shared" si="26"/>
        <v>-1</v>
      </c>
    </row>
    <row r="134" spans="1:26" s="24" customFormat="1" hidden="1" outlineLevel="1" x14ac:dyDescent="0.3">
      <c r="A134" s="44"/>
      <c r="B134" s="11" t="str">
        <f>CONCATENATE("          ", "5586", " - ", "FREIGHT-IN-COMPUTER SUPPLIES")</f>
        <v xml:space="preserve">          5586 - FREIGHT-IN-COMPUTER SUPPLIES</v>
      </c>
      <c r="C134" s="11"/>
      <c r="D134" s="2"/>
      <c r="E134" s="2"/>
      <c r="F134" s="19">
        <f t="shared" si="19"/>
        <v>0</v>
      </c>
      <c r="G134" s="2"/>
      <c r="H134" s="2">
        <v>24.12</v>
      </c>
      <c r="I134" s="2"/>
      <c r="J134" s="19">
        <f t="shared" si="20"/>
        <v>1.0909129147784211E-5</v>
      </c>
      <c r="K134" s="2"/>
      <c r="L134" s="2">
        <f t="shared" si="21"/>
        <v>-24.12</v>
      </c>
      <c r="M134" s="2"/>
      <c r="N134" s="19">
        <f t="shared" si="22"/>
        <v>-1</v>
      </c>
      <c r="O134" s="11"/>
      <c r="P134" s="2"/>
      <c r="Q134" s="2"/>
      <c r="R134" s="19">
        <f t="shared" si="23"/>
        <v>0</v>
      </c>
      <c r="S134" s="2"/>
      <c r="T134" s="2">
        <v>24.12</v>
      </c>
      <c r="U134" s="2"/>
      <c r="V134" s="19">
        <f t="shared" si="24"/>
        <v>8.9735467876711509E-6</v>
      </c>
      <c r="W134" s="2"/>
      <c r="X134" s="2">
        <f t="shared" si="25"/>
        <v>-24.12</v>
      </c>
      <c r="Y134" s="2"/>
      <c r="Z134" s="19">
        <f t="shared" si="26"/>
        <v>-1</v>
      </c>
    </row>
    <row r="135" spans="1:26" s="24" customFormat="1" hidden="1" outlineLevel="1" x14ac:dyDescent="0.3">
      <c r="A135" s="44"/>
      <c r="B135" s="11" t="str">
        <f>CONCATENATE("          ", "5592", " - ", "FREIGHT-IN-GRAD MERCH")</f>
        <v xml:space="preserve">          5592 - FREIGHT-IN-GRAD MERCH</v>
      </c>
      <c r="C135" s="11"/>
      <c r="D135" s="2"/>
      <c r="E135" s="2"/>
      <c r="F135" s="19">
        <f t="shared" si="19"/>
        <v>0</v>
      </c>
      <c r="G135" s="2"/>
      <c r="H135" s="2"/>
      <c r="I135" s="2"/>
      <c r="J135" s="19">
        <f t="shared" si="20"/>
        <v>0</v>
      </c>
      <c r="K135" s="2"/>
      <c r="L135" s="2">
        <f t="shared" si="21"/>
        <v>0</v>
      </c>
      <c r="M135" s="2"/>
      <c r="N135" s="19">
        <f t="shared" si="22"/>
        <v>0</v>
      </c>
      <c r="O135" s="11"/>
      <c r="P135" s="2"/>
      <c r="Q135" s="2"/>
      <c r="R135" s="19">
        <f t="shared" si="23"/>
        <v>0</v>
      </c>
      <c r="S135" s="2"/>
      <c r="T135" s="2">
        <v>0</v>
      </c>
      <c r="U135" s="2"/>
      <c r="V135" s="19">
        <f t="shared" si="24"/>
        <v>0</v>
      </c>
      <c r="W135" s="2"/>
      <c r="X135" s="2">
        <f t="shared" si="25"/>
        <v>0</v>
      </c>
      <c r="Y135" s="2"/>
      <c r="Z135" s="19">
        <f t="shared" si="26"/>
        <v>0</v>
      </c>
    </row>
    <row r="136" spans="1:26" x14ac:dyDescent="0.3">
      <c r="A136" s="9"/>
      <c r="B136" s="10"/>
      <c r="C136" s="10"/>
      <c r="D136" s="3"/>
      <c r="E136" s="3"/>
      <c r="F136" s="6"/>
      <c r="G136" s="3"/>
      <c r="H136" s="3"/>
      <c r="I136" s="3"/>
      <c r="J136" s="6"/>
      <c r="K136" s="3"/>
      <c r="L136" s="3"/>
      <c r="M136" s="3"/>
      <c r="N136" s="6"/>
      <c r="O136" s="10"/>
      <c r="P136" s="3"/>
      <c r="Q136" s="3"/>
      <c r="R136" s="6"/>
      <c r="S136" s="3"/>
      <c r="T136" s="3"/>
      <c r="U136" s="3"/>
      <c r="V136" s="6"/>
      <c r="W136" s="3"/>
      <c r="X136" s="3"/>
      <c r="Y136" s="3"/>
      <c r="Z136" s="6"/>
    </row>
    <row r="137" spans="1:26" s="23" customFormat="1" x14ac:dyDescent="0.3">
      <c r="A137" s="10"/>
      <c r="B137" s="25" t="s">
        <v>107</v>
      </c>
      <c r="C137" s="25"/>
      <c r="D137" s="20">
        <f>D12-D94</f>
        <v>1011811.0299999996</v>
      </c>
      <c r="E137" s="13"/>
      <c r="F137" s="22">
        <f>IF(D$12=0,0,D137/D$12)</f>
        <v>0.40658933318444762</v>
      </c>
      <c r="G137" s="13"/>
      <c r="H137" s="20">
        <f>H12-H94</f>
        <v>602829.42000000016</v>
      </c>
      <c r="I137" s="13"/>
      <c r="J137" s="22">
        <f>IF(H$12=0,0,H137/H$12)</f>
        <v>0.27265107781359255</v>
      </c>
      <c r="K137" s="15"/>
      <c r="L137" s="20">
        <f>+D137-H137</f>
        <v>408981.6099999994</v>
      </c>
      <c r="M137" s="15"/>
      <c r="N137" s="22">
        <f>IF(H137=0,0,L137/H137)</f>
        <v>0.6784367126607711</v>
      </c>
      <c r="O137" s="26"/>
      <c r="P137" s="20">
        <f>P12-P94</f>
        <v>1283979.0800000003</v>
      </c>
      <c r="Q137" s="13"/>
      <c r="R137" s="22">
        <f>IF(P$12=0,0,P137/P$12)</f>
        <v>0.42903955138145106</v>
      </c>
      <c r="S137" s="13"/>
      <c r="T137" s="20">
        <f>T12-T94</f>
        <v>742923.54999999958</v>
      </c>
      <c r="U137" s="13"/>
      <c r="V137" s="22">
        <f>IF(T$12=0,0,T137/T$12)</f>
        <v>0.27639549069600927</v>
      </c>
      <c r="W137" s="15"/>
      <c r="X137" s="20">
        <f>+P137-T137</f>
        <v>541055.53000000073</v>
      </c>
      <c r="Y137" s="15"/>
      <c r="Z137" s="22">
        <f>IF(T137=0,0,X137/T137)</f>
        <v>0.72827887876215669</v>
      </c>
    </row>
    <row r="138" spans="1:26" x14ac:dyDescent="0.3">
      <c r="A138" s="9"/>
      <c r="B138" s="10"/>
      <c r="C138" s="9"/>
      <c r="D138" s="1"/>
      <c r="E138" s="1"/>
      <c r="F138" s="5"/>
      <c r="G138" s="1"/>
      <c r="H138" s="1"/>
      <c r="I138" s="1"/>
      <c r="J138" s="5"/>
      <c r="K138" s="1"/>
      <c r="L138" s="1"/>
      <c r="M138" s="1"/>
      <c r="N138" s="5"/>
      <c r="O138" s="37"/>
      <c r="P138" s="1"/>
      <c r="Q138" s="1"/>
      <c r="R138" s="5"/>
      <c r="S138" s="1"/>
      <c r="T138" s="1"/>
      <c r="U138" s="1"/>
      <c r="V138" s="5"/>
      <c r="W138" s="1"/>
      <c r="X138" s="1"/>
      <c r="Y138" s="1"/>
      <c r="Z138" s="5"/>
    </row>
    <row r="139" spans="1:26" s="23" customFormat="1" x14ac:dyDescent="0.3">
      <c r="A139" s="10"/>
      <c r="B139" s="26" t="s">
        <v>294</v>
      </c>
      <c r="C139" s="10"/>
      <c r="D139" s="21">
        <f>SUM(OSRRefD22x_0)</f>
        <v>921450.81000000017</v>
      </c>
      <c r="E139" s="21"/>
      <c r="F139" s="32">
        <f t="shared" ref="F139:F150" si="27">IF(D$12=0,0,D139/D$12)</f>
        <v>0.37027869759451959</v>
      </c>
      <c r="G139" s="21"/>
      <c r="H139" s="21">
        <f>SUM(OSRRefH22x_0)</f>
        <v>609031.24000000011</v>
      </c>
      <c r="I139" s="21"/>
      <c r="J139" s="32">
        <f t="shared" ref="J139:J150" si="28">IF(H$12=0,0,H139/H$12)</f>
        <v>0.27545607181571985</v>
      </c>
      <c r="K139" s="4"/>
      <c r="L139" s="21">
        <f t="shared" ref="L139:L150" si="29">+D139-H139</f>
        <v>312419.57000000007</v>
      </c>
      <c r="M139" s="4"/>
      <c r="N139" s="32">
        <f t="shared" ref="N139:N150" si="30">IF(H139=0,0,L139/H139)</f>
        <v>0.51297790569823642</v>
      </c>
      <c r="O139" s="10"/>
      <c r="P139" s="21">
        <f>SUM(OSRRefP22x_0)</f>
        <v>1799939.7500000002</v>
      </c>
      <c r="Q139" s="21"/>
      <c r="R139" s="32">
        <f t="shared" ref="R139:R150" si="31">IF(P$12=0,0,P139/P$12)</f>
        <v>0.60144698218419657</v>
      </c>
      <c r="S139" s="21"/>
      <c r="T139" s="21">
        <f>SUM(OSRRefT22x_0)</f>
        <v>1308917.79</v>
      </c>
      <c r="U139" s="21"/>
      <c r="V139" s="32">
        <f t="shared" ref="V139:V150" si="32">IF(T$12=0,0,T139/T$12)</f>
        <v>0.48696662644196193</v>
      </c>
      <c r="W139" s="4"/>
      <c r="X139" s="21">
        <f t="shared" ref="X139:X150" si="33">+P139-T139</f>
        <v>491021.9600000002</v>
      </c>
      <c r="Y139" s="4"/>
      <c r="Z139" s="32">
        <f t="shared" ref="Z139:Z150" si="34">IF(T139=0,0,X139/T139)</f>
        <v>0.37513582881320617</v>
      </c>
    </row>
    <row r="140" spans="1:26" s="28" customFormat="1" outlineLevel="1" collapsed="1" x14ac:dyDescent="0.3">
      <c r="A140" s="29"/>
      <c r="B140" s="14" t="str">
        <f>CONCATENATE("     ","*Benefits                                         ")</f>
        <v xml:space="preserve">     *Benefits                                         </v>
      </c>
      <c r="C140" s="14"/>
      <c r="D140" s="1">
        <f>SUM(OSRRefD22_0x_0)</f>
        <v>161129.25999999998</v>
      </c>
      <c r="E140" s="1"/>
      <c r="F140" s="5">
        <f t="shared" si="27"/>
        <v>6.4748689663823411E-2</v>
      </c>
      <c r="G140" s="1"/>
      <c r="H140" s="1">
        <f>SUM(OSRRefH22_0x_0)</f>
        <v>151965.58000000002</v>
      </c>
      <c r="I140" s="1"/>
      <c r="J140" s="5">
        <f t="shared" si="28"/>
        <v>6.8731846527277513E-2</v>
      </c>
      <c r="K140" s="1"/>
      <c r="L140" s="1">
        <f t="shared" si="29"/>
        <v>9163.6799999999639</v>
      </c>
      <c r="M140" s="1"/>
      <c r="N140" s="5">
        <f t="shared" si="30"/>
        <v>6.0301023429121012E-2</v>
      </c>
      <c r="O140" s="14"/>
      <c r="P140" s="1">
        <f>SUM(OSRRefP22_0x_0)</f>
        <v>307651.62999999995</v>
      </c>
      <c r="Q140" s="1"/>
      <c r="R140" s="5">
        <f t="shared" si="31"/>
        <v>0.10280129900322996</v>
      </c>
      <c r="S140" s="1"/>
      <c r="T140" s="1">
        <f>SUM(OSRRefT22_0x_0)</f>
        <v>306078.72000000003</v>
      </c>
      <c r="U140" s="1"/>
      <c r="V140" s="5">
        <f t="shared" si="32"/>
        <v>0.11387279082215994</v>
      </c>
      <c r="W140" s="1"/>
      <c r="X140" s="1">
        <f t="shared" si="33"/>
        <v>1572.9099999999162</v>
      </c>
      <c r="Y140" s="1"/>
      <c r="Z140" s="5">
        <f t="shared" si="34"/>
        <v>5.1389067492177047E-3</v>
      </c>
    </row>
    <row r="141" spans="1:26" s="24" customFormat="1" hidden="1" outlineLevel="2" x14ac:dyDescent="0.3">
      <c r="A141" s="27"/>
      <c r="B141" s="11" t="str">
        <f>CONCATENATE("          ", "6111", " - ", "F.I.C.A.")</f>
        <v xml:space="preserve">          6111 - F.I.C.A.</v>
      </c>
      <c r="C141" s="11"/>
      <c r="D141" s="7">
        <v>27964.45</v>
      </c>
      <c r="E141" s="2"/>
      <c r="F141" s="8">
        <f t="shared" si="27"/>
        <v>1.1237322722573832E-2</v>
      </c>
      <c r="G141" s="2"/>
      <c r="H141" s="7">
        <v>22595.21</v>
      </c>
      <c r="I141" s="2"/>
      <c r="J141" s="8">
        <f t="shared" si="28"/>
        <v>1.021948855768264E-2</v>
      </c>
      <c r="K141" s="2"/>
      <c r="L141" s="7">
        <f t="shared" si="29"/>
        <v>5369.2400000000016</v>
      </c>
      <c r="M141" s="2"/>
      <c r="N141" s="8">
        <f t="shared" si="30"/>
        <v>0.23762735553243372</v>
      </c>
      <c r="O141" s="11"/>
      <c r="P141" s="7">
        <v>49262.51</v>
      </c>
      <c r="Q141" s="2"/>
      <c r="R141" s="8">
        <f t="shared" si="31"/>
        <v>1.6460988749383863E-2</v>
      </c>
      <c r="S141" s="2"/>
      <c r="T141" s="7">
        <v>41464.870000000003</v>
      </c>
      <c r="U141" s="2"/>
      <c r="V141" s="8">
        <f t="shared" si="32"/>
        <v>1.5426490505377359E-2</v>
      </c>
      <c r="W141" s="2"/>
      <c r="X141" s="7">
        <f t="shared" si="33"/>
        <v>7797.6399999999994</v>
      </c>
      <c r="Y141" s="2"/>
      <c r="Z141" s="8">
        <f t="shared" si="34"/>
        <v>0.1880541287118469</v>
      </c>
    </row>
    <row r="142" spans="1:26" s="24" customFormat="1" hidden="1" outlineLevel="2" x14ac:dyDescent="0.3">
      <c r="A142" s="27"/>
      <c r="B142" s="11" t="str">
        <f>CONCATENATE("          ", "6112", " - ", "COMPENSATION INSURANCE")</f>
        <v xml:space="preserve">          6112 - COMPENSATION INSURANCE</v>
      </c>
      <c r="C142" s="11"/>
      <c r="D142" s="7">
        <v>8890.15</v>
      </c>
      <c r="E142" s="2"/>
      <c r="F142" s="8">
        <f t="shared" si="27"/>
        <v>3.5724458947731757E-3</v>
      </c>
      <c r="G142" s="2"/>
      <c r="H142" s="7">
        <v>7180.93</v>
      </c>
      <c r="I142" s="2"/>
      <c r="J142" s="8">
        <f t="shared" si="28"/>
        <v>3.2478313752569684E-3</v>
      </c>
      <c r="K142" s="2"/>
      <c r="L142" s="7">
        <f t="shared" si="29"/>
        <v>1709.2199999999993</v>
      </c>
      <c r="M142" s="2"/>
      <c r="N142" s="8">
        <f t="shared" si="30"/>
        <v>0.2380220946311967</v>
      </c>
      <c r="O142" s="11"/>
      <c r="P142" s="7">
        <v>15418.5</v>
      </c>
      <c r="Q142" s="2"/>
      <c r="R142" s="8">
        <f t="shared" si="31"/>
        <v>5.1520670593596446E-3</v>
      </c>
      <c r="S142" s="2"/>
      <c r="T142" s="7">
        <v>13400.77</v>
      </c>
      <c r="U142" s="2"/>
      <c r="V142" s="8">
        <f t="shared" si="32"/>
        <v>4.9855902398764484E-3</v>
      </c>
      <c r="W142" s="2"/>
      <c r="X142" s="7">
        <f t="shared" si="33"/>
        <v>2017.7299999999996</v>
      </c>
      <c r="Y142" s="2"/>
      <c r="Z142" s="8">
        <f t="shared" si="34"/>
        <v>0.15056821361757566</v>
      </c>
    </row>
    <row r="143" spans="1:26" s="24" customFormat="1" hidden="1" outlineLevel="2" x14ac:dyDescent="0.3">
      <c r="A143" s="27"/>
      <c r="B143" s="11" t="str">
        <f>CONCATENATE("          ", "6113", " - ", "GROUP INSURANCE")</f>
        <v xml:space="preserve">          6113 - GROUP INSURANCE</v>
      </c>
      <c r="C143" s="11"/>
      <c r="D143" s="7">
        <v>73842.92</v>
      </c>
      <c r="E143" s="2"/>
      <c r="F143" s="8">
        <f t="shared" si="27"/>
        <v>2.9673271700934634E-2</v>
      </c>
      <c r="G143" s="2"/>
      <c r="H143" s="7">
        <v>75559.64</v>
      </c>
      <c r="I143" s="2"/>
      <c r="J143" s="8">
        <f t="shared" si="28"/>
        <v>3.4174538603651813E-2</v>
      </c>
      <c r="K143" s="2"/>
      <c r="L143" s="7">
        <f t="shared" si="29"/>
        <v>-1716.7200000000012</v>
      </c>
      <c r="M143" s="2"/>
      <c r="N143" s="8">
        <f t="shared" si="30"/>
        <v>-2.272006589761414E-2</v>
      </c>
      <c r="O143" s="11"/>
      <c r="P143" s="7">
        <v>146320.4</v>
      </c>
      <c r="Q143" s="2"/>
      <c r="R143" s="8">
        <f t="shared" si="31"/>
        <v>4.8892727110440501E-2</v>
      </c>
      <c r="S143" s="2"/>
      <c r="T143" s="7">
        <v>151224.64000000001</v>
      </c>
      <c r="U143" s="2"/>
      <c r="V143" s="8">
        <f t="shared" si="32"/>
        <v>5.6261251346962117E-2</v>
      </c>
      <c r="W143" s="2"/>
      <c r="X143" s="7">
        <f t="shared" si="33"/>
        <v>-4904.2400000000198</v>
      </c>
      <c r="Y143" s="2"/>
      <c r="Z143" s="8">
        <f t="shared" si="34"/>
        <v>-3.2430164819701471E-2</v>
      </c>
    </row>
    <row r="144" spans="1:26" s="24" customFormat="1" hidden="1" outlineLevel="2" x14ac:dyDescent="0.3">
      <c r="A144" s="27"/>
      <c r="B144" s="11" t="str">
        <f>CONCATENATE("          ", "6114", " - ", "STATE UNEMPLOYMENT INSURANCE")</f>
        <v xml:space="preserve">          6114 - STATE UNEMPLOYMENT INSURANCE</v>
      </c>
      <c r="C144" s="11"/>
      <c r="D144" s="7">
        <v>985.54</v>
      </c>
      <c r="E144" s="2"/>
      <c r="F144" s="8">
        <f t="shared" si="27"/>
        <v>3.9603249969176626E-4</v>
      </c>
      <c r="G144" s="2"/>
      <c r="H144" s="7">
        <v>779.29</v>
      </c>
      <c r="I144" s="2"/>
      <c r="J144" s="8">
        <f t="shared" si="28"/>
        <v>3.5246166059605132E-4</v>
      </c>
      <c r="K144" s="2"/>
      <c r="L144" s="7">
        <f t="shared" si="29"/>
        <v>206.25</v>
      </c>
      <c r="M144" s="2"/>
      <c r="N144" s="8">
        <f t="shared" si="30"/>
        <v>0.26466398901564248</v>
      </c>
      <c r="O144" s="11"/>
      <c r="P144" s="7">
        <v>1739.09</v>
      </c>
      <c r="Q144" s="2"/>
      <c r="R144" s="8">
        <f t="shared" si="31"/>
        <v>5.8111413576299664E-4</v>
      </c>
      <c r="S144" s="2"/>
      <c r="T144" s="7">
        <v>1501.47</v>
      </c>
      <c r="U144" s="2"/>
      <c r="V144" s="8">
        <f t="shared" si="32"/>
        <v>5.5860328753252911E-4</v>
      </c>
      <c r="W144" s="2"/>
      <c r="X144" s="7">
        <f t="shared" si="33"/>
        <v>237.61999999999989</v>
      </c>
      <c r="Y144" s="2"/>
      <c r="Z144" s="8">
        <f t="shared" si="34"/>
        <v>0.15825824025788054</v>
      </c>
    </row>
    <row r="145" spans="1:26" s="24" customFormat="1" hidden="1" outlineLevel="2" x14ac:dyDescent="0.3">
      <c r="A145" s="27"/>
      <c r="B145" s="11" t="str">
        <f>CONCATENATE("          ", "6115", " - ", "P.E.R.S.")</f>
        <v xml:space="preserve">          6115 - P.E.R.S.</v>
      </c>
      <c r="C145" s="11"/>
      <c r="D145" s="7">
        <v>13870.61</v>
      </c>
      <c r="E145" s="2"/>
      <c r="F145" s="8">
        <f t="shared" si="27"/>
        <v>5.5738096379138449E-3</v>
      </c>
      <c r="G145" s="2"/>
      <c r="H145" s="7">
        <v>14241.5</v>
      </c>
      <c r="I145" s="2"/>
      <c r="J145" s="8">
        <f t="shared" si="28"/>
        <v>6.4412256533237493E-3</v>
      </c>
      <c r="K145" s="2"/>
      <c r="L145" s="7">
        <f t="shared" si="29"/>
        <v>-370.88999999999942</v>
      </c>
      <c r="M145" s="2"/>
      <c r="N145" s="8">
        <f t="shared" si="30"/>
        <v>-2.6042902784116802E-2</v>
      </c>
      <c r="O145" s="11"/>
      <c r="P145" s="7">
        <v>27413.88</v>
      </c>
      <c r="Q145" s="2"/>
      <c r="R145" s="8">
        <f t="shared" si="31"/>
        <v>9.1603040579328835E-3</v>
      </c>
      <c r="S145" s="2"/>
      <c r="T145" s="7">
        <v>35492.949999999997</v>
      </c>
      <c r="U145" s="2"/>
      <c r="V145" s="8">
        <f t="shared" si="32"/>
        <v>1.320471175196819E-2</v>
      </c>
      <c r="W145" s="2"/>
      <c r="X145" s="7">
        <f t="shared" si="33"/>
        <v>-8079.0699999999961</v>
      </c>
      <c r="Y145" s="2"/>
      <c r="Z145" s="8">
        <f t="shared" si="34"/>
        <v>-0.22762464094982235</v>
      </c>
    </row>
    <row r="146" spans="1:26" s="24" customFormat="1" hidden="1" outlineLevel="2" x14ac:dyDescent="0.3">
      <c r="A146" s="27"/>
      <c r="B146" s="11" t="str">
        <f>CONCATENATE("          ", "6116", " - ", "EDUCATIONAL BENEFITS")</f>
        <v xml:space="preserve">          6116 - EDUCATIONAL BENEFITS</v>
      </c>
      <c r="C146" s="11"/>
      <c r="D146" s="7"/>
      <c r="E146" s="2"/>
      <c r="F146" s="8">
        <f t="shared" si="27"/>
        <v>0</v>
      </c>
      <c r="G146" s="2"/>
      <c r="H146" s="7"/>
      <c r="I146" s="2"/>
      <c r="J146" s="8">
        <f t="shared" si="28"/>
        <v>0</v>
      </c>
      <c r="K146" s="2"/>
      <c r="L146" s="7">
        <f t="shared" si="29"/>
        <v>0</v>
      </c>
      <c r="M146" s="2"/>
      <c r="N146" s="8">
        <f t="shared" si="30"/>
        <v>0</v>
      </c>
      <c r="O146" s="11"/>
      <c r="P146" s="7"/>
      <c r="Q146" s="2"/>
      <c r="R146" s="8">
        <f t="shared" si="31"/>
        <v>0</v>
      </c>
      <c r="S146" s="2"/>
      <c r="T146" s="7">
        <v>0</v>
      </c>
      <c r="U146" s="2"/>
      <c r="V146" s="8">
        <f t="shared" si="32"/>
        <v>0</v>
      </c>
      <c r="W146" s="2"/>
      <c r="X146" s="7">
        <f t="shared" si="33"/>
        <v>0</v>
      </c>
      <c r="Y146" s="2"/>
      <c r="Z146" s="8">
        <f t="shared" si="34"/>
        <v>0</v>
      </c>
    </row>
    <row r="147" spans="1:26" s="24" customFormat="1" hidden="1" outlineLevel="2" x14ac:dyDescent="0.3">
      <c r="A147" s="27"/>
      <c r="B147" s="11" t="str">
        <f>CONCATENATE("          ", "6117", " - ", "RETIREMENT STAFF HOURLY")</f>
        <v xml:space="preserve">          6117 - RETIREMENT STAFF HOURLY</v>
      </c>
      <c r="C147" s="11"/>
      <c r="D147" s="7">
        <v>3324.27</v>
      </c>
      <c r="E147" s="2"/>
      <c r="F147" s="8">
        <f t="shared" si="27"/>
        <v>1.3358351337848771E-3</v>
      </c>
      <c r="G147" s="2"/>
      <c r="H147" s="7">
        <v>1920.07</v>
      </c>
      <c r="I147" s="2"/>
      <c r="J147" s="8">
        <f t="shared" si="28"/>
        <v>8.6842004986675077E-4</v>
      </c>
      <c r="K147" s="2"/>
      <c r="L147" s="7">
        <f t="shared" si="29"/>
        <v>1404.2</v>
      </c>
      <c r="M147" s="2"/>
      <c r="N147" s="8">
        <f t="shared" si="30"/>
        <v>0.73132750368476152</v>
      </c>
      <c r="O147" s="11"/>
      <c r="P147" s="7">
        <v>5424</v>
      </c>
      <c r="Q147" s="2"/>
      <c r="R147" s="8">
        <f t="shared" si="31"/>
        <v>1.8124209054036847E-3</v>
      </c>
      <c r="S147" s="2"/>
      <c r="T147" s="7">
        <v>4569.8900000000003</v>
      </c>
      <c r="U147" s="2"/>
      <c r="V147" s="8">
        <f t="shared" si="32"/>
        <v>1.7001708843080645E-3</v>
      </c>
      <c r="W147" s="2"/>
      <c r="X147" s="7">
        <f t="shared" si="33"/>
        <v>854.10999999999967</v>
      </c>
      <c r="Y147" s="2"/>
      <c r="Z147" s="8">
        <f t="shared" si="34"/>
        <v>0.18689946585147554</v>
      </c>
    </row>
    <row r="148" spans="1:26" s="24" customFormat="1" hidden="1" outlineLevel="2" x14ac:dyDescent="0.3">
      <c r="A148" s="27"/>
      <c r="B148" s="11" t="str">
        <f>CONCATENATE("          ", "6118", " - ", "VACATION")</f>
        <v xml:space="preserve">          6118 - VACATION</v>
      </c>
      <c r="C148" s="11"/>
      <c r="D148" s="7">
        <v>15723.59</v>
      </c>
      <c r="E148" s="2"/>
      <c r="F148" s="8">
        <f t="shared" si="27"/>
        <v>6.318416961085759E-3</v>
      </c>
      <c r="G148" s="2"/>
      <c r="H148" s="7">
        <v>14846.53</v>
      </c>
      <c r="I148" s="2"/>
      <c r="J148" s="8">
        <f t="shared" si="28"/>
        <v>6.7148720218263985E-3</v>
      </c>
      <c r="K148" s="2"/>
      <c r="L148" s="7">
        <f t="shared" si="29"/>
        <v>877.05999999999949</v>
      </c>
      <c r="M148" s="2"/>
      <c r="N148" s="8">
        <f t="shared" si="30"/>
        <v>5.9075083538038815E-2</v>
      </c>
      <c r="O148" s="11"/>
      <c r="P148" s="7">
        <v>30590.92</v>
      </c>
      <c r="Q148" s="2"/>
      <c r="R148" s="8">
        <f t="shared" si="31"/>
        <v>1.0221906881182095E-2</v>
      </c>
      <c r="S148" s="2"/>
      <c r="T148" s="7">
        <v>29169.38</v>
      </c>
      <c r="U148" s="2"/>
      <c r="V148" s="8">
        <f t="shared" si="32"/>
        <v>1.0852105978331639E-2</v>
      </c>
      <c r="W148" s="2"/>
      <c r="X148" s="7">
        <f t="shared" si="33"/>
        <v>1421.5399999999972</v>
      </c>
      <c r="Y148" s="2"/>
      <c r="Z148" s="8">
        <f t="shared" si="34"/>
        <v>4.8733980633115861E-2</v>
      </c>
    </row>
    <row r="149" spans="1:26" s="24" customFormat="1" hidden="1" outlineLevel="2" x14ac:dyDescent="0.3">
      <c r="A149" s="27"/>
      <c r="B149" s="11" t="str">
        <f>CONCATENATE("          ", "6119", " - ", "SICK LEAVE")</f>
        <v xml:space="preserve">          6119 - SICK LEAVE</v>
      </c>
      <c r="C149" s="11"/>
      <c r="D149" s="7">
        <v>10642.12</v>
      </c>
      <c r="E149" s="2"/>
      <c r="F149" s="8">
        <f t="shared" si="27"/>
        <v>4.2764630411954259E-3</v>
      </c>
      <c r="G149" s="2"/>
      <c r="H149" s="7">
        <v>10199.56</v>
      </c>
      <c r="I149" s="2"/>
      <c r="J149" s="8">
        <f t="shared" si="28"/>
        <v>4.6131143155295987E-3</v>
      </c>
      <c r="K149" s="2"/>
      <c r="L149" s="7">
        <f t="shared" si="29"/>
        <v>442.56000000000131</v>
      </c>
      <c r="M149" s="2"/>
      <c r="N149" s="8">
        <f t="shared" si="30"/>
        <v>4.3390107024224703E-2</v>
      </c>
      <c r="O149" s="11"/>
      <c r="P149" s="7">
        <v>20723.849999999999</v>
      </c>
      <c r="Q149" s="2"/>
      <c r="R149" s="8">
        <f t="shared" si="31"/>
        <v>6.9248412574576231E-3</v>
      </c>
      <c r="S149" s="2"/>
      <c r="T149" s="7">
        <v>20399.12</v>
      </c>
      <c r="U149" s="2"/>
      <c r="V149" s="8">
        <f t="shared" si="32"/>
        <v>7.5892395417627824E-3</v>
      </c>
      <c r="W149" s="2"/>
      <c r="X149" s="7">
        <f t="shared" si="33"/>
        <v>324.72999999999956</v>
      </c>
      <c r="Y149" s="2"/>
      <c r="Z149" s="8">
        <f t="shared" si="34"/>
        <v>1.5918823949268378E-2</v>
      </c>
    </row>
    <row r="150" spans="1:26" s="24" customFormat="1" hidden="1" outlineLevel="2" x14ac:dyDescent="0.3">
      <c r="A150" s="27"/>
      <c r="B150" s="11" t="str">
        <f>CONCATENATE("          ", "6156", " - ", "EMPLOYEE MEALS")</f>
        <v xml:space="preserve">          6156 - EMPLOYEE MEALS</v>
      </c>
      <c r="C150" s="11"/>
      <c r="D150" s="7">
        <v>5885.61</v>
      </c>
      <c r="E150" s="2"/>
      <c r="F150" s="8">
        <f t="shared" si="27"/>
        <v>2.365092071870098E-3</v>
      </c>
      <c r="G150" s="2"/>
      <c r="H150" s="7">
        <v>4642.8500000000004</v>
      </c>
      <c r="I150" s="2"/>
      <c r="J150" s="8">
        <f t="shared" si="28"/>
        <v>2.0998942895435295E-3</v>
      </c>
      <c r="K150" s="2"/>
      <c r="L150" s="7">
        <f t="shared" si="29"/>
        <v>1242.7599999999993</v>
      </c>
      <c r="M150" s="2"/>
      <c r="N150" s="8">
        <f t="shared" si="30"/>
        <v>0.26767179641814814</v>
      </c>
      <c r="O150" s="11"/>
      <c r="P150" s="7">
        <v>10758.48</v>
      </c>
      <c r="Q150" s="2"/>
      <c r="R150" s="8">
        <f t="shared" si="31"/>
        <v>3.59492884630668E-3</v>
      </c>
      <c r="S150" s="2"/>
      <c r="T150" s="7">
        <v>8855.6299999999992</v>
      </c>
      <c r="U150" s="2"/>
      <c r="V150" s="8">
        <f t="shared" si="32"/>
        <v>3.294627286040807E-3</v>
      </c>
      <c r="W150" s="2"/>
      <c r="X150" s="7">
        <f t="shared" si="33"/>
        <v>1902.8500000000004</v>
      </c>
      <c r="Y150" s="2"/>
      <c r="Z150" s="8">
        <f t="shared" si="34"/>
        <v>0.21487460519466153</v>
      </c>
    </row>
    <row r="151" spans="1:26" s="28" customFormat="1" outlineLevel="1" collapsed="1" x14ac:dyDescent="0.3">
      <c r="A151" s="29"/>
      <c r="B151" s="14" t="str">
        <f>CONCATENATE("     ","*Payroll                                          ")</f>
        <v xml:space="preserve">     *Payroll                                          </v>
      </c>
      <c r="C151" s="14"/>
      <c r="D151" s="1">
        <f>SUM(OSRRefD22_1x_0)</f>
        <v>417207.10000000003</v>
      </c>
      <c r="E151" s="1"/>
      <c r="F151" s="5">
        <f t="shared" ref="F151:F158" si="35">IF(D$12=0,0,D151/D$12)</f>
        <v>0.16765181596094803</v>
      </c>
      <c r="G151" s="1"/>
      <c r="H151" s="1">
        <f>SUM(OSRRefH22_1x_0)</f>
        <v>314680.14999999997</v>
      </c>
      <c r="I151" s="1"/>
      <c r="J151" s="5">
        <f t="shared" ref="J151:J158" si="36">IF(H$12=0,0,H151/H$12)</f>
        <v>0.14232530665813048</v>
      </c>
      <c r="K151" s="1"/>
      <c r="L151" s="1">
        <f t="shared" ref="L151:L158" si="37">+D151-H151</f>
        <v>102526.95000000007</v>
      </c>
      <c r="M151" s="1"/>
      <c r="N151" s="5">
        <f t="shared" ref="N151:N158" si="38">IF(H151=0,0,L151/H151)</f>
        <v>0.32581321065214974</v>
      </c>
      <c r="O151" s="14"/>
      <c r="P151" s="1">
        <f>SUM(OSRRefP22_1x_0)</f>
        <v>765759.66</v>
      </c>
      <c r="Q151" s="1"/>
      <c r="R151" s="5">
        <f t="shared" ref="R151:R158" si="39">IF(P$12=0,0,P151/P$12)</f>
        <v>0.25587736288695018</v>
      </c>
      <c r="S151" s="1"/>
      <c r="T151" s="1">
        <f>SUM(OSRRefT22_1x_0)</f>
        <v>592083.31999999995</v>
      </c>
      <c r="U151" s="1"/>
      <c r="V151" s="5">
        <f t="shared" ref="V151:V158" si="40">IF(T$12=0,0,T151/T$12)</f>
        <v>0.22027725432088183</v>
      </c>
      <c r="W151" s="1"/>
      <c r="X151" s="1">
        <f t="shared" ref="X151:X158" si="41">+P151-T151</f>
        <v>173676.34000000008</v>
      </c>
      <c r="Y151" s="1"/>
      <c r="Z151" s="5">
        <f t="shared" ref="Z151:Z158" si="42">IF(T151=0,0,X151/T151)</f>
        <v>0.29333091160210373</v>
      </c>
    </row>
    <row r="152" spans="1:26" s="24" customFormat="1" hidden="1" outlineLevel="2" x14ac:dyDescent="0.3">
      <c r="A152" s="27"/>
      <c r="B152" s="11" t="str">
        <f>CONCATENATE("          ", "6001", " - ", "ADMINISTRATIVE SALARIES")</f>
        <v xml:space="preserve">          6001 - ADMINISTRATIVE SALARIES</v>
      </c>
      <c r="C152" s="11"/>
      <c r="D152" s="7">
        <v>26773.16</v>
      </c>
      <c r="E152" s="2"/>
      <c r="F152" s="8">
        <f t="shared" si="35"/>
        <v>1.0758610994427023E-2</v>
      </c>
      <c r="G152" s="2"/>
      <c r="H152" s="7">
        <v>24856.46</v>
      </c>
      <c r="I152" s="2"/>
      <c r="J152" s="8">
        <f t="shared" si="36"/>
        <v>1.124221941528741E-2</v>
      </c>
      <c r="K152" s="2"/>
      <c r="L152" s="7">
        <f t="shared" si="37"/>
        <v>1916.7000000000007</v>
      </c>
      <c r="M152" s="2"/>
      <c r="N152" s="8">
        <f t="shared" si="38"/>
        <v>7.7110739019152399E-2</v>
      </c>
      <c r="O152" s="11"/>
      <c r="P152" s="7">
        <v>63007.18</v>
      </c>
      <c r="Q152" s="2"/>
      <c r="R152" s="8">
        <f t="shared" si="39"/>
        <v>2.1053748197369642E-2</v>
      </c>
      <c r="S152" s="2"/>
      <c r="T152" s="7">
        <v>57046.9</v>
      </c>
      <c r="U152" s="2"/>
      <c r="V152" s="8">
        <f t="shared" si="40"/>
        <v>2.1223591469386294E-2</v>
      </c>
      <c r="W152" s="2"/>
      <c r="X152" s="7">
        <f t="shared" si="41"/>
        <v>5960.2799999999988</v>
      </c>
      <c r="Y152" s="2"/>
      <c r="Z152" s="8">
        <f t="shared" si="42"/>
        <v>0.10448034862542922</v>
      </c>
    </row>
    <row r="153" spans="1:26" s="24" customFormat="1" hidden="1" outlineLevel="2" x14ac:dyDescent="0.3">
      <c r="A153" s="27"/>
      <c r="B153" s="11" t="str">
        <f>CONCATENATE("          ", "6002", " - ", "STAFF SALARIES")</f>
        <v xml:space="preserve">          6002 - STAFF SALARIES</v>
      </c>
      <c r="C153" s="11"/>
      <c r="D153" s="7">
        <v>113584.46</v>
      </c>
      <c r="E153" s="2"/>
      <c r="F153" s="8">
        <f t="shared" si="35"/>
        <v>4.5643137386548939E-2</v>
      </c>
      <c r="G153" s="2"/>
      <c r="H153" s="7">
        <v>110527.54</v>
      </c>
      <c r="I153" s="2"/>
      <c r="J153" s="8">
        <f t="shared" si="36"/>
        <v>4.999001692565859E-2</v>
      </c>
      <c r="K153" s="2"/>
      <c r="L153" s="7">
        <f t="shared" si="37"/>
        <v>3056.9200000000128</v>
      </c>
      <c r="M153" s="2"/>
      <c r="N153" s="8">
        <f t="shared" si="38"/>
        <v>2.7657541278852428E-2</v>
      </c>
      <c r="O153" s="11"/>
      <c r="P153" s="7">
        <v>251196.2</v>
      </c>
      <c r="Q153" s="2"/>
      <c r="R153" s="8">
        <f t="shared" si="39"/>
        <v>8.3936807565996516E-2</v>
      </c>
      <c r="S153" s="2"/>
      <c r="T153" s="7">
        <v>246455.61</v>
      </c>
      <c r="U153" s="2"/>
      <c r="V153" s="8">
        <f t="shared" si="40"/>
        <v>9.1690752380556961E-2</v>
      </c>
      <c r="W153" s="2"/>
      <c r="X153" s="7">
        <f t="shared" si="41"/>
        <v>4740.5900000000256</v>
      </c>
      <c r="Y153" s="2"/>
      <c r="Z153" s="8">
        <f t="shared" si="42"/>
        <v>1.923506630666685E-2</v>
      </c>
    </row>
    <row r="154" spans="1:26" s="24" customFormat="1" hidden="1" outlineLevel="2" x14ac:dyDescent="0.3">
      <c r="A154" s="27"/>
      <c r="B154" s="11" t="str">
        <f>CONCATENATE("          ", "6004", " - ", "STAFF HOURLY")</f>
        <v xml:space="preserve">          6004 - STAFF HOURLY</v>
      </c>
      <c r="C154" s="11"/>
      <c r="D154" s="7">
        <v>79931.350000000006</v>
      </c>
      <c r="E154" s="2"/>
      <c r="F154" s="8">
        <f t="shared" si="35"/>
        <v>3.2119865600825401E-2</v>
      </c>
      <c r="G154" s="2"/>
      <c r="H154" s="7">
        <v>64226.31</v>
      </c>
      <c r="I154" s="2"/>
      <c r="J154" s="8">
        <f t="shared" si="36"/>
        <v>2.9048636421045791E-2</v>
      </c>
      <c r="K154" s="2"/>
      <c r="L154" s="7">
        <f t="shared" si="37"/>
        <v>15705.040000000008</v>
      </c>
      <c r="M154" s="2"/>
      <c r="N154" s="8">
        <f t="shared" si="38"/>
        <v>0.2445265810849169</v>
      </c>
      <c r="O154" s="11"/>
      <c r="P154" s="7">
        <v>144822.38</v>
      </c>
      <c r="Q154" s="2"/>
      <c r="R154" s="8">
        <f t="shared" si="39"/>
        <v>4.839216612874566E-2</v>
      </c>
      <c r="S154" s="2"/>
      <c r="T154" s="7">
        <v>118895.79</v>
      </c>
      <c r="U154" s="2"/>
      <c r="V154" s="8">
        <f t="shared" si="40"/>
        <v>4.4233703748844264E-2</v>
      </c>
      <c r="W154" s="2"/>
      <c r="X154" s="7">
        <f t="shared" si="41"/>
        <v>25926.590000000011</v>
      </c>
      <c r="Y154" s="2"/>
      <c r="Z154" s="8">
        <f t="shared" si="42"/>
        <v>0.21806146374064223</v>
      </c>
    </row>
    <row r="155" spans="1:26" s="24" customFormat="1" hidden="1" outlineLevel="2" x14ac:dyDescent="0.3">
      <c r="A155" s="27"/>
      <c r="B155" s="11" t="str">
        <f>CONCATENATE("          ", "6005", " - ", "TEMPORARY WAGES-HOURLY")</f>
        <v xml:space="preserve">          6005 - TEMPORARY WAGES-HOURLY</v>
      </c>
      <c r="C155" s="11"/>
      <c r="D155" s="7">
        <v>38119.279999999999</v>
      </c>
      <c r="E155" s="2"/>
      <c r="F155" s="8">
        <f t="shared" si="35"/>
        <v>1.5317971614394495E-2</v>
      </c>
      <c r="G155" s="2"/>
      <c r="H155" s="7">
        <v>31518.66</v>
      </c>
      <c r="I155" s="2"/>
      <c r="J155" s="8">
        <f t="shared" si="36"/>
        <v>1.4255436671024059E-2</v>
      </c>
      <c r="K155" s="2"/>
      <c r="L155" s="7">
        <f t="shared" si="37"/>
        <v>6600.619999999999</v>
      </c>
      <c r="M155" s="2"/>
      <c r="N155" s="8">
        <f t="shared" si="38"/>
        <v>0.20941943597855997</v>
      </c>
      <c r="O155" s="11"/>
      <c r="P155" s="7">
        <v>61725.99</v>
      </c>
      <c r="Q155" s="2"/>
      <c r="R155" s="8">
        <f t="shared" si="39"/>
        <v>2.0625640612599333E-2</v>
      </c>
      <c r="S155" s="2"/>
      <c r="T155" s="7">
        <v>50641.599999999999</v>
      </c>
      <c r="U155" s="2"/>
      <c r="V155" s="8">
        <f t="shared" si="40"/>
        <v>1.8840579063123024E-2</v>
      </c>
      <c r="W155" s="2"/>
      <c r="X155" s="7">
        <f t="shared" si="41"/>
        <v>11084.39</v>
      </c>
      <c r="Y155" s="2"/>
      <c r="Z155" s="8">
        <f t="shared" si="42"/>
        <v>0.2188791428390888</v>
      </c>
    </row>
    <row r="156" spans="1:26" s="24" customFormat="1" hidden="1" outlineLevel="2" x14ac:dyDescent="0.3">
      <c r="A156" s="27"/>
      <c r="B156" s="11" t="str">
        <f>CONCATENATE("          ", "6006", " - ", "TEMPORARY PART TIME")</f>
        <v xml:space="preserve">          6006 - TEMPORARY PART TIME</v>
      </c>
      <c r="C156" s="11"/>
      <c r="D156" s="7">
        <v>3273.79</v>
      </c>
      <c r="E156" s="2"/>
      <c r="F156" s="8">
        <f t="shared" si="35"/>
        <v>1.315550091488836E-3</v>
      </c>
      <c r="G156" s="2"/>
      <c r="H156" s="7">
        <v>1927.34</v>
      </c>
      <c r="I156" s="2"/>
      <c r="J156" s="8">
        <f t="shared" si="36"/>
        <v>8.7170816632215669E-4</v>
      </c>
      <c r="K156" s="2"/>
      <c r="L156" s="7">
        <f t="shared" si="37"/>
        <v>1346.45</v>
      </c>
      <c r="M156" s="2"/>
      <c r="N156" s="8">
        <f t="shared" si="38"/>
        <v>0.69860533170068595</v>
      </c>
      <c r="O156" s="11"/>
      <c r="P156" s="7">
        <v>6138.19</v>
      </c>
      <c r="Q156" s="2"/>
      <c r="R156" s="8">
        <f t="shared" si="39"/>
        <v>2.0510663490670802E-3</v>
      </c>
      <c r="S156" s="2"/>
      <c r="T156" s="7">
        <v>3975.55</v>
      </c>
      <c r="U156" s="2"/>
      <c r="V156" s="8">
        <f t="shared" si="40"/>
        <v>1.479054060187647E-3</v>
      </c>
      <c r="W156" s="2"/>
      <c r="X156" s="7">
        <f t="shared" si="41"/>
        <v>2162.6399999999994</v>
      </c>
      <c r="Y156" s="2"/>
      <c r="Z156" s="8">
        <f t="shared" si="42"/>
        <v>0.54398510897863173</v>
      </c>
    </row>
    <row r="157" spans="1:26" s="24" customFormat="1" hidden="1" outlineLevel="2" x14ac:dyDescent="0.3">
      <c r="A157" s="27"/>
      <c r="B157" s="11" t="str">
        <f>CONCATENATE("          ", "6007", " - ", "STUDENT HOURLY")</f>
        <v xml:space="preserve">          6007 - STUDENT HOURLY</v>
      </c>
      <c r="C157" s="11"/>
      <c r="D157" s="7">
        <v>138458.75</v>
      </c>
      <c r="E157" s="2"/>
      <c r="F157" s="8">
        <f t="shared" si="35"/>
        <v>5.5638700475574142E-2</v>
      </c>
      <c r="G157" s="2"/>
      <c r="H157" s="7">
        <v>80574.48</v>
      </c>
      <c r="I157" s="2"/>
      <c r="J157" s="8">
        <f t="shared" si="36"/>
        <v>3.6442678620877113E-2</v>
      </c>
      <c r="K157" s="2"/>
      <c r="L157" s="7">
        <f t="shared" si="37"/>
        <v>57884.270000000004</v>
      </c>
      <c r="M157" s="2"/>
      <c r="N157" s="8">
        <f t="shared" si="38"/>
        <v>0.71839458349591589</v>
      </c>
      <c r="O157" s="11"/>
      <c r="P157" s="7">
        <v>212019.06</v>
      </c>
      <c r="Q157" s="2"/>
      <c r="R157" s="8">
        <f t="shared" si="39"/>
        <v>7.0845829035405261E-2</v>
      </c>
      <c r="S157" s="2"/>
      <c r="T157" s="7">
        <v>114018.51</v>
      </c>
      <c r="U157" s="2"/>
      <c r="V157" s="8">
        <f t="shared" si="40"/>
        <v>4.2419172228256669E-2</v>
      </c>
      <c r="W157" s="2"/>
      <c r="X157" s="7">
        <f t="shared" si="41"/>
        <v>98000.55</v>
      </c>
      <c r="Y157" s="2"/>
      <c r="Z157" s="8">
        <f t="shared" si="42"/>
        <v>0.85951438937414637</v>
      </c>
    </row>
    <row r="158" spans="1:26" s="24" customFormat="1" hidden="1" outlineLevel="2" x14ac:dyDescent="0.3">
      <c r="A158" s="27"/>
      <c r="B158" s="11" t="str">
        <f>CONCATENATE("          ", "6008", " - ", "STUDENT HOURLY-FICA EXEMPT")</f>
        <v xml:space="preserve">          6008 - STUDENT HOURLY-FICA EXEMPT</v>
      </c>
      <c r="C158" s="11"/>
      <c r="D158" s="7">
        <v>17066.310000000001</v>
      </c>
      <c r="E158" s="2"/>
      <c r="F158" s="8">
        <f t="shared" si="35"/>
        <v>6.8579797976891736E-3</v>
      </c>
      <c r="G158" s="2"/>
      <c r="H158" s="7">
        <v>1049.3599999999999</v>
      </c>
      <c r="I158" s="2"/>
      <c r="J158" s="8">
        <f t="shared" si="36"/>
        <v>4.7461043791537474E-4</v>
      </c>
      <c r="K158" s="2"/>
      <c r="L158" s="7">
        <f t="shared" si="37"/>
        <v>16016.95</v>
      </c>
      <c r="M158" s="2"/>
      <c r="N158" s="8">
        <f t="shared" si="38"/>
        <v>15.263541587253185</v>
      </c>
      <c r="O158" s="11"/>
      <c r="P158" s="7">
        <v>26850.66</v>
      </c>
      <c r="Q158" s="2"/>
      <c r="R158" s="8">
        <f t="shared" si="39"/>
        <v>8.9721049977666851E-3</v>
      </c>
      <c r="S158" s="2"/>
      <c r="T158" s="7">
        <v>1049.3599999999999</v>
      </c>
      <c r="U158" s="2"/>
      <c r="V158" s="8">
        <f t="shared" si="40"/>
        <v>3.9040137052697338E-4</v>
      </c>
      <c r="W158" s="2"/>
      <c r="X158" s="7">
        <f t="shared" si="41"/>
        <v>25801.3</v>
      </c>
      <c r="Y158" s="2"/>
      <c r="Z158" s="8">
        <f t="shared" si="42"/>
        <v>24.587653426850654</v>
      </c>
    </row>
    <row r="159" spans="1:26" s="28" customFormat="1" outlineLevel="1" collapsed="1" x14ac:dyDescent="0.3">
      <c r="A159" s="29"/>
      <c r="B159" s="14" t="str">
        <f>CONCATENATE("     ","Advertising/Promo                                 ")</f>
        <v xml:space="preserve">     Advertising/Promo                                 </v>
      </c>
      <c r="C159" s="14"/>
      <c r="D159" s="1">
        <f>SUM(OSRRefD22_2x_0)</f>
        <v>3706.47</v>
      </c>
      <c r="E159" s="1"/>
      <c r="F159" s="5">
        <f t="shared" ref="F159:F167" si="43">IF(D$12=0,0,D159/D$12)</f>
        <v>1.4894195863511788E-3</v>
      </c>
      <c r="G159" s="1"/>
      <c r="H159" s="1">
        <f>SUM(OSRRefH22_2x_0)</f>
        <v>10215.11</v>
      </c>
      <c r="I159" s="1"/>
      <c r="J159" s="5">
        <f t="shared" ref="J159:J167" si="44">IF(H$12=0,0,H159/H$12)</f>
        <v>4.620147356916334E-3</v>
      </c>
      <c r="K159" s="1"/>
      <c r="L159" s="1">
        <f t="shared" ref="L159:L167" si="45">+D159-H159</f>
        <v>-6508.6400000000012</v>
      </c>
      <c r="M159" s="1"/>
      <c r="N159" s="5">
        <f t="shared" ref="N159:N167" si="46">IF(H159=0,0,L159/H159)</f>
        <v>-0.63715809227702891</v>
      </c>
      <c r="O159" s="14"/>
      <c r="P159" s="1">
        <f>SUM(OSRRefP22_2x_0)</f>
        <v>4791.25</v>
      </c>
      <c r="Q159" s="1"/>
      <c r="R159" s="5">
        <f t="shared" ref="R159:R167" si="47">IF(P$12=0,0,P159/P$12)</f>
        <v>1.6009885071931055E-3</v>
      </c>
      <c r="S159" s="1"/>
      <c r="T159" s="1">
        <f>SUM(OSRRefT22_2x_0)</f>
        <v>13726.05</v>
      </c>
      <c r="U159" s="1"/>
      <c r="V159" s="5">
        <f t="shared" ref="V159:V167" si="48">IF(T$12=0,0,T159/T$12)</f>
        <v>5.1066066287277605E-3</v>
      </c>
      <c r="W159" s="1"/>
      <c r="X159" s="1">
        <f t="shared" ref="X159:X167" si="49">+P159-T159</f>
        <v>-8934.7999999999993</v>
      </c>
      <c r="Y159" s="1"/>
      <c r="Z159" s="5">
        <f t="shared" ref="Z159:Z167" si="50">IF(T159=0,0,X159/T159)</f>
        <v>-0.65093745105110357</v>
      </c>
    </row>
    <row r="160" spans="1:26" s="24" customFormat="1" hidden="1" outlineLevel="2" x14ac:dyDescent="0.3">
      <c r="A160" s="27"/>
      <c r="B160" s="11" t="str">
        <f>CONCATENATE("          ", "6362", " - ", "ADVERTISING EXPENSE")</f>
        <v xml:space="preserve">          6362 - ADVERTISING EXPENSE</v>
      </c>
      <c r="C160" s="11"/>
      <c r="D160" s="7">
        <v>3706.47</v>
      </c>
      <c r="E160" s="2"/>
      <c r="F160" s="8">
        <f t="shared" si="43"/>
        <v>1.4894195863511788E-3</v>
      </c>
      <c r="G160" s="2"/>
      <c r="H160" s="7">
        <v>10215.11</v>
      </c>
      <c r="I160" s="2"/>
      <c r="J160" s="8">
        <f t="shared" si="44"/>
        <v>4.620147356916334E-3</v>
      </c>
      <c r="K160" s="2"/>
      <c r="L160" s="7">
        <f t="shared" si="45"/>
        <v>-6508.6400000000012</v>
      </c>
      <c r="M160" s="2"/>
      <c r="N160" s="8">
        <f t="shared" si="46"/>
        <v>-0.63715809227702891</v>
      </c>
      <c r="O160" s="11"/>
      <c r="P160" s="7">
        <v>4791.25</v>
      </c>
      <c r="Q160" s="2"/>
      <c r="R160" s="8">
        <f t="shared" si="47"/>
        <v>1.6009885071931055E-3</v>
      </c>
      <c r="S160" s="2"/>
      <c r="T160" s="7">
        <v>13726.05</v>
      </c>
      <c r="U160" s="2"/>
      <c r="V160" s="8">
        <f t="shared" si="48"/>
        <v>5.1066066287277605E-3</v>
      </c>
      <c r="W160" s="2"/>
      <c r="X160" s="7">
        <f t="shared" si="49"/>
        <v>-8934.7999999999993</v>
      </c>
      <c r="Y160" s="2"/>
      <c r="Z160" s="8">
        <f t="shared" si="50"/>
        <v>-0.65093745105110357</v>
      </c>
    </row>
    <row r="161" spans="1:26" s="28" customFormat="1" outlineLevel="1" collapsed="1" x14ac:dyDescent="0.3">
      <c r="A161" s="29"/>
      <c r="B161" s="14" t="str">
        <f>CONCATENATE("     ","Bad Debts/Over/Short                              ")</f>
        <v xml:space="preserve">     Bad Debts/Over/Short                              </v>
      </c>
      <c r="C161" s="14"/>
      <c r="D161" s="1">
        <f>SUM(OSRRefD22_3x_0)</f>
        <v>61.24</v>
      </c>
      <c r="E161" s="1"/>
      <c r="F161" s="5">
        <f t="shared" si="43"/>
        <v>2.4608874607954794E-5</v>
      </c>
      <c r="G161" s="1"/>
      <c r="H161" s="1">
        <f>SUM(OSRRefH22_3x_0)</f>
        <v>102.42</v>
      </c>
      <c r="I161" s="1"/>
      <c r="J161" s="5">
        <f t="shared" si="44"/>
        <v>4.632309317230758E-5</v>
      </c>
      <c r="K161" s="1"/>
      <c r="L161" s="1">
        <f t="shared" si="45"/>
        <v>-41.18</v>
      </c>
      <c r="M161" s="1"/>
      <c r="N161" s="5">
        <f t="shared" si="46"/>
        <v>-0.40206990822105054</v>
      </c>
      <c r="O161" s="14"/>
      <c r="P161" s="1">
        <f>SUM(OSRRefP22_3x_0)</f>
        <v>43.49</v>
      </c>
      <c r="Q161" s="1"/>
      <c r="R161" s="5">
        <f t="shared" si="47"/>
        <v>1.4532113786136845E-5</v>
      </c>
      <c r="S161" s="1"/>
      <c r="T161" s="1">
        <f>SUM(OSRRefT22_3x_0)</f>
        <v>107.4</v>
      </c>
      <c r="U161" s="1"/>
      <c r="V161" s="5">
        <f t="shared" si="48"/>
        <v>3.995683768639642E-5</v>
      </c>
      <c r="W161" s="1"/>
      <c r="X161" s="1">
        <f t="shared" si="49"/>
        <v>-63.910000000000004</v>
      </c>
      <c r="Y161" s="1"/>
      <c r="Z161" s="5">
        <f t="shared" si="50"/>
        <v>-0.59506517690875238</v>
      </c>
    </row>
    <row r="162" spans="1:26" s="24" customFormat="1" hidden="1" outlineLevel="2" x14ac:dyDescent="0.3">
      <c r="A162" s="27"/>
      <c r="B162" s="11" t="str">
        <f>CONCATENATE("          ", "6272", " - ", "CASH (OVER/SHORT)")</f>
        <v xml:space="preserve">          6272 - CASH (OVER/SHORT)</v>
      </c>
      <c r="C162" s="11"/>
      <c r="D162" s="7">
        <v>61.24</v>
      </c>
      <c r="E162" s="2"/>
      <c r="F162" s="8">
        <f t="shared" si="43"/>
        <v>2.4608874607954794E-5</v>
      </c>
      <c r="G162" s="2"/>
      <c r="H162" s="7">
        <v>102.42</v>
      </c>
      <c r="I162" s="2"/>
      <c r="J162" s="8">
        <f t="shared" si="44"/>
        <v>4.632309317230758E-5</v>
      </c>
      <c r="K162" s="2"/>
      <c r="L162" s="7">
        <f t="shared" si="45"/>
        <v>-41.18</v>
      </c>
      <c r="M162" s="2"/>
      <c r="N162" s="8">
        <f t="shared" si="46"/>
        <v>-0.40206990822105054</v>
      </c>
      <c r="O162" s="11"/>
      <c r="P162" s="7">
        <v>43.49</v>
      </c>
      <c r="Q162" s="2"/>
      <c r="R162" s="8">
        <f t="shared" si="47"/>
        <v>1.4532113786136845E-5</v>
      </c>
      <c r="S162" s="2"/>
      <c r="T162" s="7">
        <v>107.4</v>
      </c>
      <c r="U162" s="2"/>
      <c r="V162" s="8">
        <f t="shared" si="48"/>
        <v>3.995683768639642E-5</v>
      </c>
      <c r="W162" s="2"/>
      <c r="X162" s="7">
        <f t="shared" si="49"/>
        <v>-63.910000000000004</v>
      </c>
      <c r="Y162" s="2"/>
      <c r="Z162" s="8">
        <f t="shared" si="50"/>
        <v>-0.59506517690875238</v>
      </c>
    </row>
    <row r="163" spans="1:26" s="28" customFormat="1" outlineLevel="1" collapsed="1" x14ac:dyDescent="0.3">
      <c r="A163" s="29"/>
      <c r="B163" s="14" t="str">
        <f>CONCATENATE("     ","Bank/card Fees                                    ")</f>
        <v xml:space="preserve">     Bank/card Fees                                    </v>
      </c>
      <c r="C163" s="14"/>
      <c r="D163" s="1">
        <f>SUM(OSRRefD22_4x_0)</f>
        <v>26352.66</v>
      </c>
      <c r="E163" s="1"/>
      <c r="F163" s="5">
        <f t="shared" si="43"/>
        <v>1.0589635949151958E-2</v>
      </c>
      <c r="G163" s="1"/>
      <c r="H163" s="1">
        <f>SUM(OSRRefH22_4x_0)</f>
        <v>22597.51</v>
      </c>
      <c r="I163" s="1"/>
      <c r="J163" s="5">
        <f t="shared" si="44"/>
        <v>1.0220528814608009E-2</v>
      </c>
      <c r="K163" s="1"/>
      <c r="L163" s="1">
        <f t="shared" si="45"/>
        <v>3755.1500000000015</v>
      </c>
      <c r="M163" s="1"/>
      <c r="N163" s="5">
        <f t="shared" si="46"/>
        <v>0.16617538835030946</v>
      </c>
      <c r="O163" s="14"/>
      <c r="P163" s="1">
        <f>SUM(OSRRefP22_4x_0)</f>
        <v>31444.42</v>
      </c>
      <c r="Q163" s="1"/>
      <c r="R163" s="5">
        <f t="shared" si="47"/>
        <v>1.0507102538033504E-2</v>
      </c>
      <c r="S163" s="1"/>
      <c r="T163" s="1">
        <f>SUM(OSRRefT22_4x_0)</f>
        <v>26303.87</v>
      </c>
      <c r="U163" s="1"/>
      <c r="V163" s="5">
        <f t="shared" si="48"/>
        <v>9.7860285299261832E-3</v>
      </c>
      <c r="W163" s="1"/>
      <c r="X163" s="1">
        <f t="shared" si="49"/>
        <v>5140.5499999999993</v>
      </c>
      <c r="Y163" s="1"/>
      <c r="Z163" s="5">
        <f t="shared" si="50"/>
        <v>0.19542941780049855</v>
      </c>
    </row>
    <row r="164" spans="1:26" s="24" customFormat="1" hidden="1" outlineLevel="2" x14ac:dyDescent="0.3">
      <c r="A164" s="27"/>
      <c r="B164" s="11" t="str">
        <f>CONCATENATE("          ", "6381", " - ", "BANK/CREDIT CARD FEES")</f>
        <v xml:space="preserve">          6381 - BANK/CREDIT CARD FEES</v>
      </c>
      <c r="C164" s="11"/>
      <c r="D164" s="7">
        <v>26352.66</v>
      </c>
      <c r="E164" s="2"/>
      <c r="F164" s="8">
        <f t="shared" si="43"/>
        <v>1.0589635949151958E-2</v>
      </c>
      <c r="G164" s="2"/>
      <c r="H164" s="7">
        <v>22597.51</v>
      </c>
      <c r="I164" s="2"/>
      <c r="J164" s="8">
        <f t="shared" si="44"/>
        <v>1.0220528814608009E-2</v>
      </c>
      <c r="K164" s="2"/>
      <c r="L164" s="7">
        <f t="shared" si="45"/>
        <v>3755.1500000000015</v>
      </c>
      <c r="M164" s="2"/>
      <c r="N164" s="8">
        <f t="shared" si="46"/>
        <v>0.16617538835030946</v>
      </c>
      <c r="O164" s="11"/>
      <c r="P164" s="7">
        <v>31444.42</v>
      </c>
      <c r="Q164" s="2"/>
      <c r="R164" s="8">
        <f t="shared" si="47"/>
        <v>1.0507102538033504E-2</v>
      </c>
      <c r="S164" s="2"/>
      <c r="T164" s="7">
        <v>26303.87</v>
      </c>
      <c r="U164" s="2"/>
      <c r="V164" s="8">
        <f t="shared" si="48"/>
        <v>9.7860285299261832E-3</v>
      </c>
      <c r="W164" s="2"/>
      <c r="X164" s="7">
        <f t="shared" si="49"/>
        <v>5140.5499999999993</v>
      </c>
      <c r="Y164" s="2"/>
      <c r="Z164" s="8">
        <f t="shared" si="50"/>
        <v>0.19542941780049855</v>
      </c>
    </row>
    <row r="165" spans="1:26" s="28" customFormat="1" outlineLevel="1" collapsed="1" x14ac:dyDescent="0.3">
      <c r="A165" s="29"/>
      <c r="B165" s="14" t="str">
        <f>CONCATENATE("     ","Depreciation                                      ")</f>
        <v xml:space="preserve">     Depreciation                                      </v>
      </c>
      <c r="C165" s="14"/>
      <c r="D165" s="1">
        <f>SUM(OSRRefD22_5x_0)</f>
        <v>71722.81</v>
      </c>
      <c r="E165" s="1"/>
      <c r="F165" s="5">
        <f t="shared" si="43"/>
        <v>2.8821320016658492E-2</v>
      </c>
      <c r="G165" s="1"/>
      <c r="H165" s="1">
        <f>SUM(OSRRefH22_5x_0)</f>
        <v>79107.78</v>
      </c>
      <c r="I165" s="1"/>
      <c r="J165" s="5">
        <f t="shared" si="44"/>
        <v>3.5779311302425405E-2</v>
      </c>
      <c r="K165" s="1"/>
      <c r="L165" s="1">
        <f t="shared" si="45"/>
        <v>-7384.9700000000012</v>
      </c>
      <c r="M165" s="1"/>
      <c r="N165" s="5">
        <f t="shared" si="46"/>
        <v>-9.3353270689684395E-2</v>
      </c>
      <c r="O165" s="14"/>
      <c r="P165" s="1">
        <f>SUM(OSRRefP22_5x_0)</f>
        <v>143445.62</v>
      </c>
      <c r="Q165" s="1"/>
      <c r="R165" s="5">
        <f t="shared" si="47"/>
        <v>4.7932123981672729E-2</v>
      </c>
      <c r="S165" s="1"/>
      <c r="T165" s="1">
        <f>SUM(OSRRefT22_5x_0)</f>
        <v>156494.84</v>
      </c>
      <c r="U165" s="1"/>
      <c r="V165" s="5">
        <f t="shared" si="48"/>
        <v>5.8221963879316364E-2</v>
      </c>
      <c r="W165" s="1"/>
      <c r="X165" s="1">
        <f t="shared" si="49"/>
        <v>-13049.220000000001</v>
      </c>
      <c r="Y165" s="1"/>
      <c r="Z165" s="5">
        <f t="shared" si="50"/>
        <v>-8.3384346729898584E-2</v>
      </c>
    </row>
    <row r="166" spans="1:26" s="24" customFormat="1" hidden="1" outlineLevel="2" x14ac:dyDescent="0.3">
      <c r="A166" s="27"/>
      <c r="B166" s="11" t="str">
        <f>CONCATENATE("          ", "6321", " - ", "BUILDING DEPRECIATION")</f>
        <v xml:space="preserve">          6321 - BUILDING DEPRECIATION</v>
      </c>
      <c r="C166" s="11"/>
      <c r="D166" s="7">
        <v>45060.5</v>
      </c>
      <c r="E166" s="2"/>
      <c r="F166" s="8">
        <f t="shared" si="43"/>
        <v>1.8107253335593515E-2</v>
      </c>
      <c r="G166" s="2"/>
      <c r="H166" s="7">
        <v>45321.919999999998</v>
      </c>
      <c r="I166" s="2"/>
      <c r="J166" s="8">
        <f t="shared" si="44"/>
        <v>2.0498452674359211E-2</v>
      </c>
      <c r="K166" s="2"/>
      <c r="L166" s="7">
        <f t="shared" si="45"/>
        <v>-261.41999999999825</v>
      </c>
      <c r="M166" s="2"/>
      <c r="N166" s="8">
        <f t="shared" si="46"/>
        <v>-5.7680698434664345E-3</v>
      </c>
      <c r="O166" s="11"/>
      <c r="P166" s="7">
        <v>90121</v>
      </c>
      <c r="Q166" s="2"/>
      <c r="R166" s="8">
        <f t="shared" si="47"/>
        <v>3.0113787687294516E-2</v>
      </c>
      <c r="S166" s="2"/>
      <c r="T166" s="7">
        <v>90643.839999999997</v>
      </c>
      <c r="U166" s="2"/>
      <c r="V166" s="8">
        <f t="shared" si="48"/>
        <v>3.3722916221151644E-2</v>
      </c>
      <c r="W166" s="2"/>
      <c r="X166" s="7">
        <f t="shared" si="49"/>
        <v>-522.83999999999651</v>
      </c>
      <c r="Y166" s="2"/>
      <c r="Z166" s="8">
        <f t="shared" si="50"/>
        <v>-5.7680698434664345E-3</v>
      </c>
    </row>
    <row r="167" spans="1:26" s="24" customFormat="1" hidden="1" outlineLevel="2" x14ac:dyDescent="0.3">
      <c r="A167" s="27"/>
      <c r="B167" s="11" t="str">
        <f>CONCATENATE("          ", "6322", " - ", "EQUIPMENT DEPRECIATION EXPENSE")</f>
        <v xml:space="preserve">          6322 - EQUIPMENT DEPRECIATION EXPENSE</v>
      </c>
      <c r="C167" s="11"/>
      <c r="D167" s="7">
        <v>26662.31</v>
      </c>
      <c r="E167" s="2"/>
      <c r="F167" s="8">
        <f t="shared" si="43"/>
        <v>1.0714066681064977E-2</v>
      </c>
      <c r="G167" s="2"/>
      <c r="H167" s="7">
        <v>33785.86</v>
      </c>
      <c r="I167" s="2"/>
      <c r="J167" s="8">
        <f t="shared" si="44"/>
        <v>1.5280858628066198E-2</v>
      </c>
      <c r="K167" s="2"/>
      <c r="L167" s="7">
        <f t="shared" si="45"/>
        <v>-7123.5499999999993</v>
      </c>
      <c r="M167" s="2"/>
      <c r="N167" s="8">
        <f t="shared" si="46"/>
        <v>-0.21084412236361599</v>
      </c>
      <c r="O167" s="11"/>
      <c r="P167" s="7">
        <v>53324.62</v>
      </c>
      <c r="Q167" s="2"/>
      <c r="R167" s="8">
        <f t="shared" si="47"/>
        <v>1.7818336294378213E-2</v>
      </c>
      <c r="S167" s="2"/>
      <c r="T167" s="7">
        <v>65851</v>
      </c>
      <c r="U167" s="2"/>
      <c r="V167" s="8">
        <f t="shared" si="48"/>
        <v>2.4499047658164717E-2</v>
      </c>
      <c r="W167" s="2"/>
      <c r="X167" s="7">
        <f t="shared" si="49"/>
        <v>-12526.379999999997</v>
      </c>
      <c r="Y167" s="2"/>
      <c r="Z167" s="8">
        <f t="shared" si="50"/>
        <v>-0.19022307937616736</v>
      </c>
    </row>
    <row r="168" spans="1:26" s="28" customFormat="1" outlineLevel="1" collapsed="1" x14ac:dyDescent="0.3">
      <c r="A168" s="29"/>
      <c r="B168" s="14" t="str">
        <f>CONCATENATE("     ","Discounts and Markdowns                           ")</f>
        <v xml:space="preserve">     Discounts and Markdowns                           </v>
      </c>
      <c r="C168" s="14"/>
      <c r="D168" s="1">
        <f>SUM(OSRRefD22_6x_0)</f>
        <v>-157.30000000000001</v>
      </c>
      <c r="E168" s="1"/>
      <c r="F168" s="5">
        <f t="shared" ref="F168:F170" si="51">IF(D$12=0,0,D168/D$12)</f>
        <v>-6.3209927756879307E-5</v>
      </c>
      <c r="G168" s="1"/>
      <c r="H168" s="1">
        <f>SUM(OSRRefH22_6x_0)</f>
        <v>0</v>
      </c>
      <c r="I168" s="1"/>
      <c r="J168" s="5">
        <f t="shared" ref="J168:J170" si="52">IF(H$12=0,0,H168/H$12)</f>
        <v>0</v>
      </c>
      <c r="K168" s="1"/>
      <c r="L168" s="1">
        <f t="shared" ref="L168:L170" si="53">+D168-H168</f>
        <v>-157.30000000000001</v>
      </c>
      <c r="M168" s="1"/>
      <c r="N168" s="5">
        <f t="shared" ref="N168:N170" si="54">IF(H168=0,0,L168/H168)</f>
        <v>0</v>
      </c>
      <c r="O168" s="14"/>
      <c r="P168" s="1">
        <f>SUM(OSRRefP22_6x_0)</f>
        <v>-157.97999999999999</v>
      </c>
      <c r="Q168" s="1"/>
      <c r="R168" s="5">
        <f t="shared" ref="R168:R170" si="55">IF(P$12=0,0,P168/P$12)</f>
        <v>-5.2788763760264394E-5</v>
      </c>
      <c r="S168" s="1"/>
      <c r="T168" s="1">
        <f>SUM(OSRRefT22_6x_0)</f>
        <v>0</v>
      </c>
      <c r="U168" s="1"/>
      <c r="V168" s="5">
        <f t="shared" ref="V168:V170" si="56">IF(T$12=0,0,T168/T$12)</f>
        <v>0</v>
      </c>
      <c r="W168" s="1"/>
      <c r="X168" s="1">
        <f t="shared" ref="X168:X170" si="57">+P168-T168</f>
        <v>-157.97999999999999</v>
      </c>
      <c r="Y168" s="1"/>
      <c r="Z168" s="5">
        <f t="shared" ref="Z168:Z170" si="58">IF(T168=0,0,X168/T168)</f>
        <v>0</v>
      </c>
    </row>
    <row r="169" spans="1:26" s="24" customFormat="1" hidden="1" outlineLevel="2" x14ac:dyDescent="0.3">
      <c r="A169" s="27"/>
      <c r="B169" s="11" t="str">
        <f>CONCATENATE("          ", "6382", " - ", "DISCOUNTS/MARK DOWNS")</f>
        <v xml:space="preserve">          6382 - DISCOUNTS/MARK DOWNS</v>
      </c>
      <c r="C169" s="11"/>
      <c r="D169" s="7"/>
      <c r="E169" s="2"/>
      <c r="F169" s="8">
        <f t="shared" si="51"/>
        <v>0</v>
      </c>
      <c r="G169" s="2"/>
      <c r="H169" s="7">
        <v>0</v>
      </c>
      <c r="I169" s="2"/>
      <c r="J169" s="8">
        <f t="shared" si="52"/>
        <v>0</v>
      </c>
      <c r="K169" s="2"/>
      <c r="L169" s="7">
        <f t="shared" si="53"/>
        <v>0</v>
      </c>
      <c r="M169" s="2"/>
      <c r="N169" s="8">
        <f t="shared" si="54"/>
        <v>0</v>
      </c>
      <c r="O169" s="11"/>
      <c r="P169" s="7"/>
      <c r="Q169" s="2"/>
      <c r="R169" s="8">
        <f t="shared" si="55"/>
        <v>0</v>
      </c>
      <c r="S169" s="2"/>
      <c r="T169" s="7">
        <v>0</v>
      </c>
      <c r="U169" s="2"/>
      <c r="V169" s="8">
        <f t="shared" si="56"/>
        <v>0</v>
      </c>
      <c r="W169" s="2"/>
      <c r="X169" s="7">
        <f t="shared" si="57"/>
        <v>0</v>
      </c>
      <c r="Y169" s="2"/>
      <c r="Z169" s="8">
        <f t="shared" si="58"/>
        <v>0</v>
      </c>
    </row>
    <row r="170" spans="1:26" s="24" customFormat="1" hidden="1" outlineLevel="2" x14ac:dyDescent="0.3">
      <c r="A170" s="27"/>
      <c r="B170" s="11" t="str">
        <f>CONCATENATE("          ", "9175", " - ", "EARNED DISCOUNTS")</f>
        <v xml:space="preserve">          9175 - EARNED DISCOUNTS</v>
      </c>
      <c r="C170" s="11"/>
      <c r="D170" s="7">
        <v>-157.30000000000001</v>
      </c>
      <c r="E170" s="2"/>
      <c r="F170" s="8">
        <f t="shared" si="51"/>
        <v>-6.3209927756879307E-5</v>
      </c>
      <c r="G170" s="2"/>
      <c r="H170" s="7"/>
      <c r="I170" s="2"/>
      <c r="J170" s="8">
        <f t="shared" si="52"/>
        <v>0</v>
      </c>
      <c r="K170" s="2"/>
      <c r="L170" s="7">
        <f t="shared" si="53"/>
        <v>-157.30000000000001</v>
      </c>
      <c r="M170" s="2"/>
      <c r="N170" s="8">
        <f t="shared" si="54"/>
        <v>0</v>
      </c>
      <c r="O170" s="11"/>
      <c r="P170" s="7">
        <v>-157.97999999999999</v>
      </c>
      <c r="Q170" s="2"/>
      <c r="R170" s="8">
        <f t="shared" si="55"/>
        <v>-5.2788763760264394E-5</v>
      </c>
      <c r="S170" s="2"/>
      <c r="T170" s="7"/>
      <c r="U170" s="2"/>
      <c r="V170" s="8">
        <f t="shared" si="56"/>
        <v>0</v>
      </c>
      <c r="W170" s="2"/>
      <c r="X170" s="7">
        <f t="shared" si="57"/>
        <v>-157.97999999999999</v>
      </c>
      <c r="Y170" s="2"/>
      <c r="Z170" s="8">
        <f t="shared" si="58"/>
        <v>0</v>
      </c>
    </row>
    <row r="171" spans="1:26" s="28" customFormat="1" outlineLevel="1" collapsed="1" x14ac:dyDescent="0.3">
      <c r="A171" s="29"/>
      <c r="B171" s="14" t="str">
        <f>CONCATENATE("     ","Donations                                         ")</f>
        <v xml:space="preserve">     Donations                                         </v>
      </c>
      <c r="C171" s="14"/>
      <c r="D171" s="1">
        <f>SUM(OSRRefD22_7x_0)</f>
        <v>4261.5600000000004</v>
      </c>
      <c r="E171" s="1"/>
      <c r="F171" s="5">
        <f t="shared" ref="F171:F179" si="59">IF(D$12=0,0,D171/D$12)</f>
        <v>1.7124787014088151E-3</v>
      </c>
      <c r="G171" s="1"/>
      <c r="H171" s="1">
        <f>SUM(OSRRefH22_7x_0)</f>
        <v>2222.02</v>
      </c>
      <c r="I171" s="1"/>
      <c r="J171" s="5">
        <f t="shared" ref="J171:J179" si="60">IF(H$12=0,0,H171/H$12)</f>
        <v>1.00498769274293E-3</v>
      </c>
      <c r="K171" s="1"/>
      <c r="L171" s="1">
        <f t="shared" ref="L171:L179" si="61">+D171-H171</f>
        <v>2039.5400000000004</v>
      </c>
      <c r="M171" s="1"/>
      <c r="N171" s="5">
        <f t="shared" ref="N171:N179" si="62">IF(H171=0,0,L171/H171)</f>
        <v>0.91787652676393572</v>
      </c>
      <c r="O171" s="14"/>
      <c r="P171" s="1">
        <f>SUM(OSRRefP22_7x_0)</f>
        <v>4261.5600000000004</v>
      </c>
      <c r="Q171" s="1"/>
      <c r="R171" s="5">
        <f t="shared" ref="R171:R179" si="63">IF(P$12=0,0,P171/P$12)</f>
        <v>1.4239934427787845E-3</v>
      </c>
      <c r="S171" s="1"/>
      <c r="T171" s="1">
        <f>SUM(OSRRefT22_7x_0)</f>
        <v>2222.02</v>
      </c>
      <c r="U171" s="1"/>
      <c r="V171" s="5">
        <f t="shared" ref="V171:V179" si="64">IF(T$12=0,0,T171/T$12)</f>
        <v>8.266749764983852E-4</v>
      </c>
      <c r="W171" s="1"/>
      <c r="X171" s="1">
        <f t="shared" ref="X171:X179" si="65">+P171-T171</f>
        <v>2039.5400000000004</v>
      </c>
      <c r="Y171" s="1"/>
      <c r="Z171" s="5">
        <f t="shared" ref="Z171:Z179" si="66">IF(T171=0,0,X171/T171)</f>
        <v>0.91787652676393572</v>
      </c>
    </row>
    <row r="172" spans="1:26" s="24" customFormat="1" hidden="1" outlineLevel="2" x14ac:dyDescent="0.3">
      <c r="A172" s="27"/>
      <c r="B172" s="11" t="str">
        <f>CONCATENATE("          ", "6399", " - ", "DONATION-ON CAMPUS")</f>
        <v xml:space="preserve">          6399 - DONATION-ON CAMPUS</v>
      </c>
      <c r="C172" s="11"/>
      <c r="D172" s="7">
        <v>4261.5600000000004</v>
      </c>
      <c r="E172" s="2"/>
      <c r="F172" s="8">
        <f t="shared" si="59"/>
        <v>1.7124787014088151E-3</v>
      </c>
      <c r="G172" s="2"/>
      <c r="H172" s="7">
        <v>2222.02</v>
      </c>
      <c r="I172" s="2"/>
      <c r="J172" s="8">
        <f t="shared" si="60"/>
        <v>1.00498769274293E-3</v>
      </c>
      <c r="K172" s="2"/>
      <c r="L172" s="7">
        <f t="shared" si="61"/>
        <v>2039.5400000000004</v>
      </c>
      <c r="M172" s="2"/>
      <c r="N172" s="8">
        <f t="shared" si="62"/>
        <v>0.91787652676393572</v>
      </c>
      <c r="O172" s="11"/>
      <c r="P172" s="7">
        <v>4261.5600000000004</v>
      </c>
      <c r="Q172" s="2"/>
      <c r="R172" s="8">
        <f t="shared" si="63"/>
        <v>1.4239934427787845E-3</v>
      </c>
      <c r="S172" s="2"/>
      <c r="T172" s="7">
        <v>2222.02</v>
      </c>
      <c r="U172" s="2"/>
      <c r="V172" s="8">
        <f t="shared" si="64"/>
        <v>8.266749764983852E-4</v>
      </c>
      <c r="W172" s="2"/>
      <c r="X172" s="7">
        <f t="shared" si="65"/>
        <v>2039.5400000000004</v>
      </c>
      <c r="Y172" s="2"/>
      <c r="Z172" s="8">
        <f t="shared" si="66"/>
        <v>0.91787652676393572</v>
      </c>
    </row>
    <row r="173" spans="1:26" s="28" customFormat="1" outlineLevel="1" collapsed="1" x14ac:dyDescent="0.3">
      <c r="A173" s="29"/>
      <c r="B173" s="14" t="str">
        <f>CONCATENATE("     ","Employees' Appreciation                           ")</f>
        <v xml:space="preserve">     Employees' Appreciation                           </v>
      </c>
      <c r="C173" s="14"/>
      <c r="D173" s="1">
        <f>SUM(OSRRefD22_8x_0)</f>
        <v>418</v>
      </c>
      <c r="E173" s="1"/>
      <c r="F173" s="5">
        <f t="shared" si="59"/>
        <v>1.6797043739590306E-4</v>
      </c>
      <c r="G173" s="1"/>
      <c r="H173" s="1">
        <f>SUM(OSRRefH22_8x_0)</f>
        <v>0</v>
      </c>
      <c r="I173" s="1"/>
      <c r="J173" s="5">
        <f t="shared" si="60"/>
        <v>0</v>
      </c>
      <c r="K173" s="1"/>
      <c r="L173" s="1">
        <f t="shared" si="61"/>
        <v>418</v>
      </c>
      <c r="M173" s="1"/>
      <c r="N173" s="5">
        <f t="shared" si="62"/>
        <v>0</v>
      </c>
      <c r="O173" s="14"/>
      <c r="P173" s="1">
        <f>SUM(OSRRefP22_8x_0)</f>
        <v>955.36</v>
      </c>
      <c r="Q173" s="1"/>
      <c r="R173" s="5">
        <f t="shared" si="63"/>
        <v>3.1923201257125076E-4</v>
      </c>
      <c r="S173" s="1"/>
      <c r="T173" s="1">
        <f>SUM(OSRRefT22_8x_0)</f>
        <v>107.7</v>
      </c>
      <c r="U173" s="1"/>
      <c r="V173" s="5">
        <f t="shared" si="64"/>
        <v>4.0068448964850042E-5</v>
      </c>
      <c r="W173" s="1"/>
      <c r="X173" s="1">
        <f t="shared" si="65"/>
        <v>847.66</v>
      </c>
      <c r="Y173" s="1"/>
      <c r="Z173" s="5">
        <f t="shared" si="66"/>
        <v>7.870566388115134</v>
      </c>
    </row>
    <row r="174" spans="1:26" s="24" customFormat="1" hidden="1" outlineLevel="2" x14ac:dyDescent="0.3">
      <c r="A174" s="27"/>
      <c r="B174" s="11" t="str">
        <f>CONCATENATE("          ", "6277", " - ", "EMPLOYEE APPRECIATION")</f>
        <v xml:space="preserve">          6277 - EMPLOYEE APPRECIATION</v>
      </c>
      <c r="C174" s="11"/>
      <c r="D174" s="7">
        <v>418</v>
      </c>
      <c r="E174" s="2"/>
      <c r="F174" s="8">
        <f t="shared" si="59"/>
        <v>1.6797043739590306E-4</v>
      </c>
      <c r="G174" s="2"/>
      <c r="H174" s="7"/>
      <c r="I174" s="2"/>
      <c r="J174" s="8">
        <f t="shared" si="60"/>
        <v>0</v>
      </c>
      <c r="K174" s="2"/>
      <c r="L174" s="7">
        <f t="shared" si="61"/>
        <v>418</v>
      </c>
      <c r="M174" s="2"/>
      <c r="N174" s="8">
        <f t="shared" si="62"/>
        <v>0</v>
      </c>
      <c r="O174" s="11"/>
      <c r="P174" s="7">
        <v>955.36</v>
      </c>
      <c r="Q174" s="2"/>
      <c r="R174" s="8">
        <f t="shared" si="63"/>
        <v>3.1923201257125076E-4</v>
      </c>
      <c r="S174" s="2"/>
      <c r="T174" s="7">
        <v>107.7</v>
      </c>
      <c r="U174" s="2"/>
      <c r="V174" s="8">
        <f t="shared" si="64"/>
        <v>4.0068448964850042E-5</v>
      </c>
      <c r="W174" s="2"/>
      <c r="X174" s="7">
        <f t="shared" si="65"/>
        <v>847.66</v>
      </c>
      <c r="Y174" s="2"/>
      <c r="Z174" s="8">
        <f t="shared" si="66"/>
        <v>7.870566388115134</v>
      </c>
    </row>
    <row r="175" spans="1:26" s="28" customFormat="1" outlineLevel="1" collapsed="1" x14ac:dyDescent="0.3">
      <c r="A175" s="29"/>
      <c r="B175" s="14" t="str">
        <f>CONCATENATE("     ","Equipment Rental                                  ")</f>
        <v xml:space="preserve">     Equipment Rental                                  </v>
      </c>
      <c r="C175" s="14"/>
      <c r="D175" s="1">
        <f>SUM(OSRRefD22_9x_0)</f>
        <v>7575.85</v>
      </c>
      <c r="E175" s="1"/>
      <c r="F175" s="5">
        <f t="shared" si="59"/>
        <v>3.044303440540077E-3</v>
      </c>
      <c r="G175" s="1"/>
      <c r="H175" s="1">
        <f>SUM(OSRRefH22_9x_0)</f>
        <v>2227.17</v>
      </c>
      <c r="I175" s="1"/>
      <c r="J175" s="5">
        <f t="shared" si="60"/>
        <v>1.0073169636845175E-3</v>
      </c>
      <c r="K175" s="1"/>
      <c r="L175" s="1">
        <f t="shared" si="61"/>
        <v>5348.68</v>
      </c>
      <c r="M175" s="1"/>
      <c r="N175" s="5">
        <f t="shared" si="62"/>
        <v>2.4015589290444823</v>
      </c>
      <c r="O175" s="14"/>
      <c r="P175" s="1">
        <f>SUM(OSRRefP22_9x_0)</f>
        <v>10289.469999999999</v>
      </c>
      <c r="Q175" s="1"/>
      <c r="R175" s="5">
        <f t="shared" si="63"/>
        <v>3.4382099066231657E-3</v>
      </c>
      <c r="S175" s="1"/>
      <c r="T175" s="1">
        <f>SUM(OSRRefT22_9x_0)</f>
        <v>4865.83</v>
      </c>
      <c r="U175" s="1"/>
      <c r="V175" s="5">
        <f t="shared" si="64"/>
        <v>1.8102716901266134E-3</v>
      </c>
      <c r="W175" s="1"/>
      <c r="X175" s="1">
        <f t="shared" si="65"/>
        <v>5423.6399999999994</v>
      </c>
      <c r="Y175" s="1"/>
      <c r="Z175" s="5">
        <f t="shared" si="66"/>
        <v>1.1146382014990248</v>
      </c>
    </row>
    <row r="176" spans="1:26" s="24" customFormat="1" hidden="1" outlineLevel="2" x14ac:dyDescent="0.3">
      <c r="A176" s="27"/>
      <c r="B176" s="11" t="str">
        <f>CONCATENATE("          ", "6351", " - ", "EQUIPMENT RENTAL")</f>
        <v xml:space="preserve">          6351 - EQUIPMENT RENTAL</v>
      </c>
      <c r="C176" s="11"/>
      <c r="D176" s="7">
        <v>7575.85</v>
      </c>
      <c r="E176" s="2"/>
      <c r="F176" s="8">
        <f t="shared" si="59"/>
        <v>3.044303440540077E-3</v>
      </c>
      <c r="G176" s="2"/>
      <c r="H176" s="7">
        <v>2227.17</v>
      </c>
      <c r="I176" s="2"/>
      <c r="J176" s="8">
        <f t="shared" si="60"/>
        <v>1.0073169636845175E-3</v>
      </c>
      <c r="K176" s="2"/>
      <c r="L176" s="7">
        <f t="shared" si="61"/>
        <v>5348.68</v>
      </c>
      <c r="M176" s="2"/>
      <c r="N176" s="8">
        <f t="shared" si="62"/>
        <v>2.4015589290444823</v>
      </c>
      <c r="O176" s="11"/>
      <c r="P176" s="7">
        <v>10289.469999999999</v>
      </c>
      <c r="Q176" s="2"/>
      <c r="R176" s="8">
        <f t="shared" si="63"/>
        <v>3.4382099066231657E-3</v>
      </c>
      <c r="S176" s="2"/>
      <c r="T176" s="7">
        <v>4865.83</v>
      </c>
      <c r="U176" s="2"/>
      <c r="V176" s="8">
        <f t="shared" si="64"/>
        <v>1.8102716901266134E-3</v>
      </c>
      <c r="W176" s="2"/>
      <c r="X176" s="7">
        <f t="shared" si="65"/>
        <v>5423.6399999999994</v>
      </c>
      <c r="Y176" s="2"/>
      <c r="Z176" s="8">
        <f t="shared" si="66"/>
        <v>1.1146382014990248</v>
      </c>
    </row>
    <row r="177" spans="1:26" s="28" customFormat="1" outlineLevel="1" collapsed="1" x14ac:dyDescent="0.3">
      <c r="A177" s="29"/>
      <c r="B177" s="14" t="str">
        <f>CONCATENATE("     ","Freight out/Postage                               ")</f>
        <v xml:space="preserve">     Freight out/Postage                               </v>
      </c>
      <c r="C177" s="14"/>
      <c r="D177" s="1">
        <f>SUM(OSRRefD22_10x_0)</f>
        <v>-19372.54</v>
      </c>
      <c r="E177" s="1"/>
      <c r="F177" s="5">
        <f t="shared" si="59"/>
        <v>-7.7847225293531767E-3</v>
      </c>
      <c r="G177" s="1"/>
      <c r="H177" s="1">
        <f>SUM(OSRRefH22_10x_0)</f>
        <v>-83557.150000000009</v>
      </c>
      <c r="I177" s="1"/>
      <c r="J177" s="5">
        <f t="shared" si="60"/>
        <v>-3.7791697370264409E-2</v>
      </c>
      <c r="K177" s="1"/>
      <c r="L177" s="1">
        <f t="shared" si="61"/>
        <v>64184.610000000008</v>
      </c>
      <c r="M177" s="1"/>
      <c r="N177" s="5">
        <f t="shared" si="62"/>
        <v>-0.76815221677618251</v>
      </c>
      <c r="O177" s="14"/>
      <c r="P177" s="1">
        <f>SUM(OSRRefP22_10x_0)</f>
        <v>-15689.740000000002</v>
      </c>
      <c r="Q177" s="1"/>
      <c r="R177" s="5">
        <f t="shared" si="63"/>
        <v>-5.2427014705657094E-3</v>
      </c>
      <c r="S177" s="1"/>
      <c r="T177" s="1">
        <f>SUM(OSRRefT22_10x_0)</f>
        <v>-74617.889999999985</v>
      </c>
      <c r="U177" s="1"/>
      <c r="V177" s="5">
        <f t="shared" si="64"/>
        <v>-2.7760660328038936E-2</v>
      </c>
      <c r="W177" s="1"/>
      <c r="X177" s="1">
        <f t="shared" si="65"/>
        <v>58928.14999999998</v>
      </c>
      <c r="Y177" s="1"/>
      <c r="Z177" s="5">
        <f t="shared" si="66"/>
        <v>-0.78973219424993113</v>
      </c>
    </row>
    <row r="178" spans="1:26" s="24" customFormat="1" hidden="1" outlineLevel="2" x14ac:dyDescent="0.3">
      <c r="A178" s="27"/>
      <c r="B178" s="11" t="str">
        <f>CONCATENATE("          ", "6305", " - ", "FREIGHT OUT")</f>
        <v xml:space="preserve">          6305 - FREIGHT OUT</v>
      </c>
      <c r="C178" s="11"/>
      <c r="D178" s="7">
        <v>4399.6499999999996</v>
      </c>
      <c r="E178" s="2"/>
      <c r="F178" s="8">
        <f t="shared" si="59"/>
        <v>1.7679692222222125E-3</v>
      </c>
      <c r="G178" s="2"/>
      <c r="H178" s="7">
        <v>8420.09</v>
      </c>
      <c r="I178" s="2"/>
      <c r="J178" s="8">
        <f t="shared" si="60"/>
        <v>3.8082856237962835E-3</v>
      </c>
      <c r="K178" s="2"/>
      <c r="L178" s="7">
        <f t="shared" si="61"/>
        <v>-4020.4400000000005</v>
      </c>
      <c r="M178" s="2"/>
      <c r="N178" s="8">
        <f t="shared" si="62"/>
        <v>-0.47748183214193679</v>
      </c>
      <c r="O178" s="11"/>
      <c r="P178" s="7">
        <v>15382.34</v>
      </c>
      <c r="Q178" s="2"/>
      <c r="R178" s="8">
        <f t="shared" si="63"/>
        <v>5.1399842533236201E-3</v>
      </c>
      <c r="S178" s="2"/>
      <c r="T178" s="7">
        <v>20514.79</v>
      </c>
      <c r="U178" s="2"/>
      <c r="V178" s="8">
        <f t="shared" si="64"/>
        <v>7.6322731303585514E-3</v>
      </c>
      <c r="W178" s="2"/>
      <c r="X178" s="7">
        <f t="shared" si="65"/>
        <v>-5132.4500000000007</v>
      </c>
      <c r="Y178" s="2"/>
      <c r="Z178" s="8">
        <f t="shared" si="66"/>
        <v>-0.25018291681269955</v>
      </c>
    </row>
    <row r="179" spans="1:26" s="24" customFormat="1" hidden="1" outlineLevel="2" x14ac:dyDescent="0.3">
      <c r="A179" s="27"/>
      <c r="B179" s="11" t="str">
        <f>CONCATENATE("          ", "6307", " - ", "POSTAGE")</f>
        <v xml:space="preserve">          6307 - POSTAGE</v>
      </c>
      <c r="C179" s="11"/>
      <c r="D179" s="7">
        <v>-23772.19</v>
      </c>
      <c r="E179" s="2"/>
      <c r="F179" s="8">
        <f t="shared" si="59"/>
        <v>-9.552691751575389E-3</v>
      </c>
      <c r="G179" s="2"/>
      <c r="H179" s="7">
        <v>-91977.24</v>
      </c>
      <c r="I179" s="2"/>
      <c r="J179" s="8">
        <f t="shared" si="60"/>
        <v>-4.1599982994060689E-2</v>
      </c>
      <c r="K179" s="2"/>
      <c r="L179" s="7">
        <f t="shared" si="61"/>
        <v>68205.05</v>
      </c>
      <c r="M179" s="2"/>
      <c r="N179" s="8">
        <f t="shared" si="62"/>
        <v>-0.74154269034382858</v>
      </c>
      <c r="O179" s="11"/>
      <c r="P179" s="7">
        <v>-31072.080000000002</v>
      </c>
      <c r="Q179" s="2"/>
      <c r="R179" s="8">
        <f t="shared" si="63"/>
        <v>-1.038268572388933E-2</v>
      </c>
      <c r="S179" s="2"/>
      <c r="T179" s="7">
        <v>-95132.68</v>
      </c>
      <c r="U179" s="2"/>
      <c r="V179" s="8">
        <f t="shared" si="64"/>
        <v>-3.5392933458397488E-2</v>
      </c>
      <c r="W179" s="2"/>
      <c r="X179" s="7">
        <f t="shared" si="65"/>
        <v>64060.599999999991</v>
      </c>
      <c r="Y179" s="2"/>
      <c r="Z179" s="8">
        <f t="shared" si="66"/>
        <v>-0.67338163920116612</v>
      </c>
    </row>
    <row r="180" spans="1:26" s="28" customFormat="1" outlineLevel="1" collapsed="1" x14ac:dyDescent="0.3">
      <c r="A180" s="29"/>
      <c r="B180" s="14" t="str">
        <f>CONCATENATE("     ","General                                           ")</f>
        <v xml:space="preserve">     General                                           </v>
      </c>
      <c r="C180" s="14"/>
      <c r="D180" s="1">
        <f>SUM(OSRRefD22_11x_0)</f>
        <v>20039.87</v>
      </c>
      <c r="E180" s="1"/>
      <c r="F180" s="5">
        <f t="shared" ref="F180:F188" si="67">IF(D$12=0,0,D180/D$12)</f>
        <v>8.0528845197536739E-3</v>
      </c>
      <c r="G180" s="1"/>
      <c r="H180" s="1">
        <f>SUM(OSRRefH22_11x_0)</f>
        <v>-913.36</v>
      </c>
      <c r="I180" s="1"/>
      <c r="J180" s="5">
        <f t="shared" ref="J180:J188" si="68">IF(H$12=0,0,H180/H$12)</f>
        <v>-4.1309959363267773E-4</v>
      </c>
      <c r="K180" s="1"/>
      <c r="L180" s="1">
        <f t="shared" ref="L180:L188" si="69">+D180-H180</f>
        <v>20953.23</v>
      </c>
      <c r="M180" s="1"/>
      <c r="N180" s="5">
        <f t="shared" ref="N180:N188" si="70">IF(H180=0,0,L180/H180)</f>
        <v>-22.940822895681876</v>
      </c>
      <c r="O180" s="14"/>
      <c r="P180" s="1">
        <f>SUM(OSRRefP22_11x_0)</f>
        <v>21311.599999999999</v>
      </c>
      <c r="Q180" s="1"/>
      <c r="R180" s="5">
        <f t="shared" ref="R180:R188" si="71">IF(P$12=0,0,P180/P$12)</f>
        <v>7.1212369778025746E-3</v>
      </c>
      <c r="S180" s="1"/>
      <c r="T180" s="1">
        <f>SUM(OSRRefT22_11x_0)</f>
        <v>7867.35</v>
      </c>
      <c r="U180" s="1"/>
      <c r="V180" s="5">
        <f t="shared" ref="V180:V188" si="72">IF(T$12=0,0,T180/T$12)</f>
        <v>2.9269499718069911E-3</v>
      </c>
      <c r="W180" s="1"/>
      <c r="X180" s="1">
        <f t="shared" ref="X180:X188" si="73">+P180-T180</f>
        <v>13444.249999999998</v>
      </c>
      <c r="Y180" s="1"/>
      <c r="Z180" s="5">
        <f t="shared" ref="Z180:Z188" si="74">IF(T180=0,0,X180/T180)</f>
        <v>1.708866390843168</v>
      </c>
    </row>
    <row r="181" spans="1:26" s="24" customFormat="1" hidden="1" outlineLevel="2" x14ac:dyDescent="0.3">
      <c r="A181" s="27"/>
      <c r="B181" s="11" t="str">
        <f>CONCATENATE("          ", "6279", " - ", "GENERAL EXPENSE")</f>
        <v xml:space="preserve">          6279 - GENERAL EXPENSE</v>
      </c>
      <c r="C181" s="11"/>
      <c r="D181" s="7">
        <v>20039.87</v>
      </c>
      <c r="E181" s="2"/>
      <c r="F181" s="8">
        <f t="shared" si="67"/>
        <v>8.0528845197536739E-3</v>
      </c>
      <c r="G181" s="2"/>
      <c r="H181" s="7">
        <v>-913.36</v>
      </c>
      <c r="I181" s="2"/>
      <c r="J181" s="8">
        <f t="shared" si="68"/>
        <v>-4.1309959363267773E-4</v>
      </c>
      <c r="K181" s="2"/>
      <c r="L181" s="7">
        <f t="shared" si="69"/>
        <v>20953.23</v>
      </c>
      <c r="M181" s="2"/>
      <c r="N181" s="8">
        <f t="shared" si="70"/>
        <v>-22.940822895681876</v>
      </c>
      <c r="O181" s="11"/>
      <c r="P181" s="7">
        <v>21311.599999999999</v>
      </c>
      <c r="Q181" s="2"/>
      <c r="R181" s="8">
        <f t="shared" si="71"/>
        <v>7.1212369778025746E-3</v>
      </c>
      <c r="S181" s="2"/>
      <c r="T181" s="7">
        <v>7867.35</v>
      </c>
      <c r="U181" s="2"/>
      <c r="V181" s="8">
        <f t="shared" si="72"/>
        <v>2.9269499718069911E-3</v>
      </c>
      <c r="W181" s="2"/>
      <c r="X181" s="7">
        <f t="shared" si="73"/>
        <v>13444.249999999998</v>
      </c>
      <c r="Y181" s="2"/>
      <c r="Z181" s="8">
        <f t="shared" si="74"/>
        <v>1.708866390843168</v>
      </c>
    </row>
    <row r="182" spans="1:26" s="28" customFormat="1" outlineLevel="1" collapsed="1" x14ac:dyDescent="0.3">
      <c r="A182" s="29"/>
      <c r="B182" s="14" t="str">
        <f>CONCATENATE("     ","Insurance                                         ")</f>
        <v xml:space="preserve">     Insurance                                         </v>
      </c>
      <c r="C182" s="14"/>
      <c r="D182" s="1">
        <f>SUM(OSRRefD22_12x_0)</f>
        <v>11626.43</v>
      </c>
      <c r="E182" s="1"/>
      <c r="F182" s="5">
        <f t="shared" si="67"/>
        <v>4.6720012738106437E-3</v>
      </c>
      <c r="G182" s="1"/>
      <c r="H182" s="1">
        <f>SUM(OSRRefH22_12x_0)</f>
        <v>8563.32</v>
      </c>
      <c r="I182" s="1"/>
      <c r="J182" s="5">
        <f t="shared" si="68"/>
        <v>3.8730664931095971E-3</v>
      </c>
      <c r="K182" s="1"/>
      <c r="L182" s="1">
        <f t="shared" si="69"/>
        <v>3063.1100000000006</v>
      </c>
      <c r="M182" s="1"/>
      <c r="N182" s="5">
        <f t="shared" si="70"/>
        <v>0.35770121868621058</v>
      </c>
      <c r="O182" s="14"/>
      <c r="P182" s="1">
        <f>SUM(OSRRefP22_12x_0)</f>
        <v>23252.87</v>
      </c>
      <c r="Q182" s="1"/>
      <c r="R182" s="5">
        <f t="shared" si="71"/>
        <v>7.769909236473852E-3</v>
      </c>
      <c r="S182" s="1"/>
      <c r="T182" s="1">
        <f>SUM(OSRRefT22_12x_0)</f>
        <v>17126.64</v>
      </c>
      <c r="U182" s="1"/>
      <c r="V182" s="5">
        <f t="shared" si="72"/>
        <v>6.3717539533830938E-3</v>
      </c>
      <c r="W182" s="1"/>
      <c r="X182" s="1">
        <f t="shared" si="73"/>
        <v>6126.23</v>
      </c>
      <c r="Y182" s="1"/>
      <c r="Z182" s="5">
        <f t="shared" si="74"/>
        <v>0.35770180257189965</v>
      </c>
    </row>
    <row r="183" spans="1:26" s="24" customFormat="1" hidden="1" outlineLevel="2" x14ac:dyDescent="0.3">
      <c r="A183" s="27"/>
      <c r="B183" s="11" t="str">
        <f>CONCATENATE("          ", "6314", " - ", "LIABILITY INSURANCE")</f>
        <v xml:space="preserve">          6314 - LIABILITY INSURANCE</v>
      </c>
      <c r="C183" s="11"/>
      <c r="D183" s="7">
        <v>11626.43</v>
      </c>
      <c r="E183" s="2"/>
      <c r="F183" s="8">
        <f t="shared" si="67"/>
        <v>4.6720012738106437E-3</v>
      </c>
      <c r="G183" s="2"/>
      <c r="H183" s="7">
        <v>8563.32</v>
      </c>
      <c r="I183" s="2"/>
      <c r="J183" s="8">
        <f t="shared" si="68"/>
        <v>3.8730664931095971E-3</v>
      </c>
      <c r="K183" s="2"/>
      <c r="L183" s="7">
        <f t="shared" si="69"/>
        <v>3063.1100000000006</v>
      </c>
      <c r="M183" s="2"/>
      <c r="N183" s="8">
        <f t="shared" si="70"/>
        <v>0.35770121868621058</v>
      </c>
      <c r="O183" s="11"/>
      <c r="P183" s="7">
        <v>23252.87</v>
      </c>
      <c r="Q183" s="2"/>
      <c r="R183" s="8">
        <f t="shared" si="71"/>
        <v>7.769909236473852E-3</v>
      </c>
      <c r="S183" s="2"/>
      <c r="T183" s="7">
        <v>17126.64</v>
      </c>
      <c r="U183" s="2"/>
      <c r="V183" s="8">
        <f t="shared" si="72"/>
        <v>6.3717539533830938E-3</v>
      </c>
      <c r="W183" s="2"/>
      <c r="X183" s="7">
        <f t="shared" si="73"/>
        <v>6126.23</v>
      </c>
      <c r="Y183" s="2"/>
      <c r="Z183" s="8">
        <f t="shared" si="74"/>
        <v>0.35770180257189965</v>
      </c>
    </row>
    <row r="184" spans="1:26" s="28" customFormat="1" outlineLevel="1" collapsed="1" x14ac:dyDescent="0.3">
      <c r="A184" s="29"/>
      <c r="B184" s="14" t="str">
        <f>CONCATENATE("     ","Interest                                          ")</f>
        <v xml:space="preserve">     Interest                                          </v>
      </c>
      <c r="C184" s="14"/>
      <c r="D184" s="1">
        <f>SUM(OSRRefD22_13x_0)</f>
        <v>11158</v>
      </c>
      <c r="E184" s="1"/>
      <c r="F184" s="5">
        <f t="shared" si="67"/>
        <v>4.4837658862762831E-3</v>
      </c>
      <c r="G184" s="1"/>
      <c r="H184" s="1">
        <f>SUM(OSRRefH22_13x_0)</f>
        <v>11554</v>
      </c>
      <c r="I184" s="1"/>
      <c r="J184" s="5">
        <f t="shared" si="68"/>
        <v>5.2257080503108943E-3</v>
      </c>
      <c r="K184" s="1"/>
      <c r="L184" s="1">
        <f t="shared" si="69"/>
        <v>-396</v>
      </c>
      <c r="M184" s="1"/>
      <c r="N184" s="5">
        <f t="shared" si="70"/>
        <v>-3.4273844555997926E-2</v>
      </c>
      <c r="O184" s="14"/>
      <c r="P184" s="1">
        <f>SUM(OSRRefP22_13x_0)</f>
        <v>22316</v>
      </c>
      <c r="Q184" s="1"/>
      <c r="R184" s="5">
        <f t="shared" si="71"/>
        <v>7.45685562776339E-3</v>
      </c>
      <c r="S184" s="1"/>
      <c r="T184" s="1">
        <f>SUM(OSRRefT22_13x_0)</f>
        <v>23108</v>
      </c>
      <c r="U184" s="1"/>
      <c r="V184" s="5">
        <f t="shared" si="72"/>
        <v>8.5970447416876018E-3</v>
      </c>
      <c r="W184" s="1"/>
      <c r="X184" s="1">
        <f t="shared" si="73"/>
        <v>-792</v>
      </c>
      <c r="Y184" s="1"/>
      <c r="Z184" s="5">
        <f t="shared" si="74"/>
        <v>-3.4273844555997926E-2</v>
      </c>
    </row>
    <row r="185" spans="1:26" s="24" customFormat="1" hidden="1" outlineLevel="2" x14ac:dyDescent="0.3">
      <c r="A185" s="27"/>
      <c r="B185" s="11" t="str">
        <f>CONCATENATE("          ", "6401", " - ", "INTEREST EXPENSE")</f>
        <v xml:space="preserve">          6401 - INTEREST EXPENSE</v>
      </c>
      <c r="C185" s="11"/>
      <c r="D185" s="7">
        <v>11158</v>
      </c>
      <c r="E185" s="2"/>
      <c r="F185" s="8">
        <f t="shared" si="67"/>
        <v>4.4837658862762831E-3</v>
      </c>
      <c r="G185" s="2"/>
      <c r="H185" s="7">
        <v>11554</v>
      </c>
      <c r="I185" s="2"/>
      <c r="J185" s="8">
        <f t="shared" si="68"/>
        <v>5.2257080503108943E-3</v>
      </c>
      <c r="K185" s="2"/>
      <c r="L185" s="7">
        <f t="shared" si="69"/>
        <v>-396</v>
      </c>
      <c r="M185" s="2"/>
      <c r="N185" s="8">
        <f t="shared" si="70"/>
        <v>-3.4273844555997926E-2</v>
      </c>
      <c r="O185" s="11"/>
      <c r="P185" s="7">
        <v>22316</v>
      </c>
      <c r="Q185" s="2"/>
      <c r="R185" s="8">
        <f t="shared" si="71"/>
        <v>7.45685562776339E-3</v>
      </c>
      <c r="S185" s="2"/>
      <c r="T185" s="7">
        <v>23108</v>
      </c>
      <c r="U185" s="2"/>
      <c r="V185" s="8">
        <f t="shared" si="72"/>
        <v>8.5970447416876018E-3</v>
      </c>
      <c r="W185" s="2"/>
      <c r="X185" s="7">
        <f t="shared" si="73"/>
        <v>-792</v>
      </c>
      <c r="Y185" s="2"/>
      <c r="Z185" s="8">
        <f t="shared" si="74"/>
        <v>-3.4273844555997926E-2</v>
      </c>
    </row>
    <row r="186" spans="1:26" s="28" customFormat="1" outlineLevel="1" collapsed="1" x14ac:dyDescent="0.3">
      <c r="A186" s="29"/>
      <c r="B186" s="14" t="str">
        <f>CONCATENATE("     ","Inventory Adjustment                              ")</f>
        <v xml:space="preserve">     Inventory Adjustment                              </v>
      </c>
      <c r="C186" s="14"/>
      <c r="D186" s="1">
        <f>SUM(OSRRefD22_14x_0)</f>
        <v>7120</v>
      </c>
      <c r="E186" s="1"/>
      <c r="F186" s="5">
        <f t="shared" si="67"/>
        <v>2.8611232398536596E-3</v>
      </c>
      <c r="G186" s="1"/>
      <c r="H186" s="1">
        <f>SUM(OSRRefH22_14x_0)</f>
        <v>3350</v>
      </c>
      <c r="I186" s="1"/>
      <c r="J186" s="5">
        <f t="shared" si="68"/>
        <v>1.5151568260811405E-3</v>
      </c>
      <c r="K186" s="1"/>
      <c r="L186" s="1">
        <f t="shared" si="69"/>
        <v>3770</v>
      </c>
      <c r="M186" s="1"/>
      <c r="N186" s="5">
        <f t="shared" si="70"/>
        <v>1.1253731343283582</v>
      </c>
      <c r="O186" s="14"/>
      <c r="P186" s="1">
        <f>SUM(OSRRefP22_14x_0)</f>
        <v>13690</v>
      </c>
      <c r="Q186" s="1"/>
      <c r="R186" s="5">
        <f t="shared" si="71"/>
        <v>4.5744915551210255E-3</v>
      </c>
      <c r="S186" s="1"/>
      <c r="T186" s="1">
        <f>SUM(OSRRefT22_14x_0)</f>
        <v>6700</v>
      </c>
      <c r="U186" s="1"/>
      <c r="V186" s="5">
        <f t="shared" si="72"/>
        <v>2.4926518854642087E-3</v>
      </c>
      <c r="W186" s="1"/>
      <c r="X186" s="1">
        <f t="shared" si="73"/>
        <v>6990</v>
      </c>
      <c r="Y186" s="1"/>
      <c r="Z186" s="5">
        <f t="shared" si="74"/>
        <v>1.0432835820895523</v>
      </c>
    </row>
    <row r="187" spans="1:26" s="24" customFormat="1" hidden="1" outlineLevel="2" x14ac:dyDescent="0.3">
      <c r="A187" s="27"/>
      <c r="B187" s="11" t="str">
        <f>CONCATENATE("          ", "6408", " - ", "INVENTORY ADJUSTMENT")</f>
        <v xml:space="preserve">          6408 - INVENTORY ADJUSTMENT</v>
      </c>
      <c r="C187" s="11"/>
      <c r="D187" s="7">
        <v>7120</v>
      </c>
      <c r="E187" s="2"/>
      <c r="F187" s="8">
        <f t="shared" si="67"/>
        <v>2.8611232398536596E-3</v>
      </c>
      <c r="G187" s="2"/>
      <c r="H187" s="7">
        <v>3350</v>
      </c>
      <c r="I187" s="2"/>
      <c r="J187" s="8">
        <f t="shared" si="68"/>
        <v>1.5151568260811405E-3</v>
      </c>
      <c r="K187" s="2"/>
      <c r="L187" s="7">
        <f t="shared" si="69"/>
        <v>3770</v>
      </c>
      <c r="M187" s="2"/>
      <c r="N187" s="8">
        <f t="shared" si="70"/>
        <v>1.1253731343283582</v>
      </c>
      <c r="O187" s="11"/>
      <c r="P187" s="7">
        <v>13690</v>
      </c>
      <c r="Q187" s="2"/>
      <c r="R187" s="8">
        <f t="shared" si="71"/>
        <v>4.5744915551210255E-3</v>
      </c>
      <c r="S187" s="2"/>
      <c r="T187" s="7">
        <v>6700</v>
      </c>
      <c r="U187" s="2"/>
      <c r="V187" s="8">
        <f t="shared" si="72"/>
        <v>2.4926518854642087E-3</v>
      </c>
      <c r="W187" s="2"/>
      <c r="X187" s="7">
        <f t="shared" si="73"/>
        <v>6990</v>
      </c>
      <c r="Y187" s="2"/>
      <c r="Z187" s="8">
        <f t="shared" si="74"/>
        <v>1.0432835820895523</v>
      </c>
    </row>
    <row r="188" spans="1:26" s="24" customFormat="1" hidden="1" outlineLevel="2" x14ac:dyDescent="0.3">
      <c r="A188" s="27"/>
      <c r="B188" s="11" t="str">
        <f>CONCATENATE("          ", "7741", " - ", "INV. SHRINKAGE-LOGO GIFTS")</f>
        <v xml:space="preserve">          7741 - INV. SHRINKAGE-LOGO GIFTS</v>
      </c>
      <c r="C188" s="11"/>
      <c r="D188" s="7"/>
      <c r="E188" s="2"/>
      <c r="F188" s="8">
        <f t="shared" si="67"/>
        <v>0</v>
      </c>
      <c r="G188" s="2"/>
      <c r="H188" s="7"/>
      <c r="I188" s="2"/>
      <c r="J188" s="8">
        <f t="shared" si="68"/>
        <v>0</v>
      </c>
      <c r="K188" s="2"/>
      <c r="L188" s="7">
        <f t="shared" si="69"/>
        <v>0</v>
      </c>
      <c r="M188" s="2"/>
      <c r="N188" s="8">
        <f t="shared" si="70"/>
        <v>0</v>
      </c>
      <c r="O188" s="11"/>
      <c r="P188" s="7"/>
      <c r="Q188" s="2"/>
      <c r="R188" s="8">
        <f t="shared" si="71"/>
        <v>0</v>
      </c>
      <c r="S188" s="2"/>
      <c r="T188" s="7">
        <v>0</v>
      </c>
      <c r="U188" s="2"/>
      <c r="V188" s="8">
        <f t="shared" si="72"/>
        <v>0</v>
      </c>
      <c r="W188" s="2"/>
      <c r="X188" s="7">
        <f t="shared" si="73"/>
        <v>0</v>
      </c>
      <c r="Y188" s="2"/>
      <c r="Z188" s="8">
        <f t="shared" si="74"/>
        <v>0</v>
      </c>
    </row>
    <row r="189" spans="1:26" s="28" customFormat="1" outlineLevel="1" collapsed="1" x14ac:dyDescent="0.3">
      <c r="A189" s="29"/>
      <c r="B189" s="14" t="str">
        <f>CONCATENATE("     ","R/H Commissions                                   ")</f>
        <v xml:space="preserve">     R/H Commissions                                   </v>
      </c>
      <c r="C189" s="14"/>
      <c r="D189" s="1">
        <f>SUM(OSRRefD22_15x_0)</f>
        <v>38588</v>
      </c>
      <c r="E189" s="1"/>
      <c r="F189" s="5">
        <f t="shared" ref="F189:F197" si="75">IF(D$12=0,0,D189/D$12)</f>
        <v>1.550632353644284E-2</v>
      </c>
      <c r="G189" s="1"/>
      <c r="H189" s="1">
        <f>SUM(OSRRefH22_15x_0)</f>
        <v>3533.81</v>
      </c>
      <c r="I189" s="1"/>
      <c r="J189" s="5">
        <f t="shared" ref="J189:J197" si="76">IF(H$12=0,0,H189/H$12)</f>
        <v>1.5982914458429237E-3</v>
      </c>
      <c r="K189" s="1"/>
      <c r="L189" s="1">
        <f t="shared" ref="L189:L197" si="77">+D189-H189</f>
        <v>35054.19</v>
      </c>
      <c r="M189" s="1"/>
      <c r="N189" s="5">
        <f t="shared" ref="N189:N197" si="78">IF(H189=0,0,L189/H189)</f>
        <v>9.919658951669728</v>
      </c>
      <c r="O189" s="14"/>
      <c r="P189" s="1">
        <f>SUM(OSRRefP22_15x_0)</f>
        <v>40156</v>
      </c>
      <c r="Q189" s="1"/>
      <c r="R189" s="5">
        <f t="shared" ref="R189:R197" si="79">IF(P$12=0,0,P189/P$12)</f>
        <v>1.3418063030492323E-2</v>
      </c>
      <c r="S189" s="1"/>
      <c r="T189" s="1">
        <f>SUM(OSRRefT22_15x_0)</f>
        <v>4685.49</v>
      </c>
      <c r="U189" s="1"/>
      <c r="V189" s="5">
        <f t="shared" ref="V189:V197" si="80">IF(T$12=0,0,T189/T$12)</f>
        <v>1.7431784302721931E-3</v>
      </c>
      <c r="W189" s="1"/>
      <c r="X189" s="1">
        <f t="shared" ref="X189:X197" si="81">+P189-T189</f>
        <v>35470.51</v>
      </c>
      <c r="Y189" s="1"/>
      <c r="Z189" s="5">
        <f t="shared" ref="Z189:Z197" si="82">IF(T189=0,0,X189/T189)</f>
        <v>7.5702882729447731</v>
      </c>
    </row>
    <row r="190" spans="1:26" s="24" customFormat="1" hidden="1" outlineLevel="2" x14ac:dyDescent="0.3">
      <c r="A190" s="27"/>
      <c r="B190" s="11" t="str">
        <f>CONCATENATE("          ", "6387", " - ", "COMMISSION DUE HOUSING")</f>
        <v xml:space="preserve">          6387 - COMMISSION DUE HOUSING</v>
      </c>
      <c r="C190" s="11"/>
      <c r="D190" s="7">
        <v>38588</v>
      </c>
      <c r="E190" s="2"/>
      <c r="F190" s="8">
        <f t="shared" si="75"/>
        <v>1.550632353644284E-2</v>
      </c>
      <c r="G190" s="2"/>
      <c r="H190" s="7">
        <v>3533.81</v>
      </c>
      <c r="I190" s="2"/>
      <c r="J190" s="8">
        <f t="shared" si="76"/>
        <v>1.5982914458429237E-3</v>
      </c>
      <c r="K190" s="2"/>
      <c r="L190" s="7">
        <f t="shared" si="77"/>
        <v>35054.19</v>
      </c>
      <c r="M190" s="2"/>
      <c r="N190" s="8">
        <f t="shared" si="78"/>
        <v>9.919658951669728</v>
      </c>
      <c r="O190" s="11"/>
      <c r="P190" s="7">
        <v>40156</v>
      </c>
      <c r="Q190" s="2"/>
      <c r="R190" s="8">
        <f t="shared" si="79"/>
        <v>1.3418063030492323E-2</v>
      </c>
      <c r="S190" s="2"/>
      <c r="T190" s="7">
        <v>4685.49</v>
      </c>
      <c r="U190" s="2"/>
      <c r="V190" s="8">
        <f t="shared" si="80"/>
        <v>1.7431784302721931E-3</v>
      </c>
      <c r="W190" s="2"/>
      <c r="X190" s="7">
        <f t="shared" si="81"/>
        <v>35470.51</v>
      </c>
      <c r="Y190" s="2"/>
      <c r="Z190" s="8">
        <f t="shared" si="82"/>
        <v>7.5702882729447731</v>
      </c>
    </row>
    <row r="191" spans="1:26" s="28" customFormat="1" outlineLevel="1" collapsed="1" x14ac:dyDescent="0.3">
      <c r="A191" s="29"/>
      <c r="B191" s="14" t="str">
        <f>CONCATENATE("     ","Rent                                              ")</f>
        <v xml:space="preserve">     Rent                                              </v>
      </c>
      <c r="C191" s="14"/>
      <c r="D191" s="1">
        <f>SUM(OSRRefD22_16x_0)</f>
        <v>8750</v>
      </c>
      <c r="E191" s="1"/>
      <c r="F191" s="5">
        <f t="shared" si="75"/>
        <v>3.5161275770673487E-3</v>
      </c>
      <c r="G191" s="1"/>
      <c r="H191" s="1">
        <f>SUM(OSRRefH22_16x_0)</f>
        <v>6900</v>
      </c>
      <c r="I191" s="1"/>
      <c r="J191" s="5">
        <f t="shared" si="76"/>
        <v>3.1207707761074237E-3</v>
      </c>
      <c r="K191" s="1"/>
      <c r="L191" s="1">
        <f t="shared" si="77"/>
        <v>1850</v>
      </c>
      <c r="M191" s="1"/>
      <c r="N191" s="5">
        <f t="shared" si="78"/>
        <v>0.26811594202898553</v>
      </c>
      <c r="O191" s="14"/>
      <c r="P191" s="1">
        <f>SUM(OSRRefP22_16x_0)</f>
        <v>17500</v>
      </c>
      <c r="Q191" s="1"/>
      <c r="R191" s="5">
        <f t="shared" si="79"/>
        <v>5.8475969477441887E-3</v>
      </c>
      <c r="S191" s="1"/>
      <c r="T191" s="1">
        <f>SUM(OSRRefT22_16x_0)</f>
        <v>13800</v>
      </c>
      <c r="U191" s="1"/>
      <c r="V191" s="5">
        <f t="shared" si="80"/>
        <v>5.1341188088665788E-3</v>
      </c>
      <c r="W191" s="1"/>
      <c r="X191" s="1">
        <f t="shared" si="81"/>
        <v>3700</v>
      </c>
      <c r="Y191" s="1"/>
      <c r="Z191" s="5">
        <f t="shared" si="82"/>
        <v>0.26811594202898553</v>
      </c>
    </row>
    <row r="192" spans="1:26" s="24" customFormat="1" hidden="1" outlineLevel="2" x14ac:dyDescent="0.3">
      <c r="A192" s="27"/>
      <c r="B192" s="11" t="str">
        <f>CONCATENATE("          ", "6273", " - ", "RENT")</f>
        <v xml:space="preserve">          6273 - RENT</v>
      </c>
      <c r="C192" s="11"/>
      <c r="D192" s="7">
        <v>8750</v>
      </c>
      <c r="E192" s="2"/>
      <c r="F192" s="8">
        <f t="shared" si="75"/>
        <v>3.5161275770673487E-3</v>
      </c>
      <c r="G192" s="2"/>
      <c r="H192" s="7">
        <v>6900</v>
      </c>
      <c r="I192" s="2"/>
      <c r="J192" s="8">
        <f t="shared" si="76"/>
        <v>3.1207707761074237E-3</v>
      </c>
      <c r="K192" s="2"/>
      <c r="L192" s="7">
        <f t="shared" si="77"/>
        <v>1850</v>
      </c>
      <c r="M192" s="2"/>
      <c r="N192" s="8">
        <f t="shared" si="78"/>
        <v>0.26811594202898553</v>
      </c>
      <c r="O192" s="11"/>
      <c r="P192" s="7">
        <v>17500</v>
      </c>
      <c r="Q192" s="2"/>
      <c r="R192" s="8">
        <f t="shared" si="79"/>
        <v>5.8475969477441887E-3</v>
      </c>
      <c r="S192" s="2"/>
      <c r="T192" s="7">
        <v>13800</v>
      </c>
      <c r="U192" s="2"/>
      <c r="V192" s="8">
        <f t="shared" si="80"/>
        <v>5.1341188088665788E-3</v>
      </c>
      <c r="W192" s="2"/>
      <c r="X192" s="7">
        <f t="shared" si="81"/>
        <v>3700</v>
      </c>
      <c r="Y192" s="2"/>
      <c r="Z192" s="8">
        <f t="shared" si="82"/>
        <v>0.26811594202898553</v>
      </c>
    </row>
    <row r="193" spans="1:26" s="28" customFormat="1" outlineLevel="1" collapsed="1" x14ac:dyDescent="0.3">
      <c r="A193" s="29"/>
      <c r="B193" s="14" t="str">
        <f>CONCATENATE("     ","Repair and Maintenance                            ")</f>
        <v xml:space="preserve">     Repair and Maintenance                            </v>
      </c>
      <c r="C193" s="14"/>
      <c r="D193" s="1">
        <f>SUM(OSRRefD22_17x_0)</f>
        <v>36023.160000000003</v>
      </c>
      <c r="E193" s="1"/>
      <c r="F193" s="5">
        <f t="shared" si="75"/>
        <v>1.4475660147326794E-2</v>
      </c>
      <c r="G193" s="1"/>
      <c r="H193" s="1">
        <f>SUM(OSRRefH22_17x_0)</f>
        <v>13911.13</v>
      </c>
      <c r="I193" s="1"/>
      <c r="J193" s="5">
        <f t="shared" si="76"/>
        <v>6.291804053134965E-3</v>
      </c>
      <c r="K193" s="1"/>
      <c r="L193" s="1">
        <f t="shared" si="77"/>
        <v>22112.030000000006</v>
      </c>
      <c r="M193" s="1"/>
      <c r="N193" s="5">
        <f t="shared" si="78"/>
        <v>1.5895207650277157</v>
      </c>
      <c r="O193" s="14"/>
      <c r="P193" s="1">
        <f>SUM(OSRRefP22_17x_0)</f>
        <v>230047.22</v>
      </c>
      <c r="Q193" s="1"/>
      <c r="R193" s="5">
        <f t="shared" si="79"/>
        <v>7.6869909800516334E-2</v>
      </c>
      <c r="S193" s="1"/>
      <c r="T193" s="1">
        <f>SUM(OSRRefT22_17x_0)</f>
        <v>84484.96</v>
      </c>
      <c r="U193" s="1"/>
      <c r="V193" s="5">
        <f t="shared" si="80"/>
        <v>3.1431581319010186E-2</v>
      </c>
      <c r="W193" s="1"/>
      <c r="X193" s="1">
        <f t="shared" si="81"/>
        <v>145562.26</v>
      </c>
      <c r="Y193" s="1"/>
      <c r="Z193" s="5">
        <f t="shared" si="82"/>
        <v>1.7229369582467695</v>
      </c>
    </row>
    <row r="194" spans="1:26" s="24" customFormat="1" hidden="1" outlineLevel="2" x14ac:dyDescent="0.3">
      <c r="A194" s="27"/>
      <c r="B194" s="11" t="str">
        <f>CONCATENATE("          ", "6371", " - ", "COMPUTER SOFTWARE MAINTENANCE")</f>
        <v xml:space="preserve">          6371 - COMPUTER SOFTWARE MAINTENANCE</v>
      </c>
      <c r="C194" s="11"/>
      <c r="D194" s="7">
        <v>8677.7199999999993</v>
      </c>
      <c r="E194" s="2"/>
      <c r="F194" s="8">
        <f t="shared" si="75"/>
        <v>3.4870823540650137E-3</v>
      </c>
      <c r="G194" s="2"/>
      <c r="H194" s="7"/>
      <c r="I194" s="2"/>
      <c r="J194" s="8">
        <f t="shared" si="76"/>
        <v>0</v>
      </c>
      <c r="K194" s="2"/>
      <c r="L194" s="7">
        <f t="shared" si="77"/>
        <v>8677.7199999999993</v>
      </c>
      <c r="M194" s="2"/>
      <c r="N194" s="8">
        <f t="shared" si="78"/>
        <v>0</v>
      </c>
      <c r="O194" s="11"/>
      <c r="P194" s="7">
        <v>71801.22</v>
      </c>
      <c r="Q194" s="2"/>
      <c r="R194" s="8">
        <f t="shared" si="79"/>
        <v>2.399226256664623E-2</v>
      </c>
      <c r="S194" s="2"/>
      <c r="T194" s="7">
        <v>58428.78</v>
      </c>
      <c r="U194" s="2"/>
      <c r="V194" s="8">
        <f t="shared" si="80"/>
        <v>2.173770278095126E-2</v>
      </c>
      <c r="W194" s="2"/>
      <c r="X194" s="7">
        <f t="shared" si="81"/>
        <v>13372.440000000002</v>
      </c>
      <c r="Y194" s="2"/>
      <c r="Z194" s="8">
        <f t="shared" si="82"/>
        <v>0.22886734927547694</v>
      </c>
    </row>
    <row r="195" spans="1:26" s="24" customFormat="1" hidden="1" outlineLevel="2" x14ac:dyDescent="0.3">
      <c r="A195" s="27"/>
      <c r="B195" s="11" t="str">
        <f>CONCATENATE("          ", "6372", " - ", "COMPUTER HARDWARE MAINTENANCE")</f>
        <v xml:space="preserve">          6372 - COMPUTER HARDWARE MAINTENANCE</v>
      </c>
      <c r="C195" s="11"/>
      <c r="D195" s="7"/>
      <c r="E195" s="2"/>
      <c r="F195" s="8">
        <f t="shared" si="75"/>
        <v>0</v>
      </c>
      <c r="G195" s="2"/>
      <c r="H195" s="7">
        <v>0.98</v>
      </c>
      <c r="I195" s="2"/>
      <c r="J195" s="8">
        <f t="shared" si="76"/>
        <v>4.4323990733119928E-7</v>
      </c>
      <c r="K195" s="2"/>
      <c r="L195" s="7">
        <f t="shared" si="77"/>
        <v>-0.98</v>
      </c>
      <c r="M195" s="2"/>
      <c r="N195" s="8">
        <f t="shared" si="78"/>
        <v>-1</v>
      </c>
      <c r="O195" s="11"/>
      <c r="P195" s="7"/>
      <c r="Q195" s="2"/>
      <c r="R195" s="8">
        <f t="shared" si="79"/>
        <v>0</v>
      </c>
      <c r="S195" s="2"/>
      <c r="T195" s="7">
        <v>0.98</v>
      </c>
      <c r="U195" s="2"/>
      <c r="V195" s="8">
        <f t="shared" si="80"/>
        <v>3.6459684294849617E-7</v>
      </c>
      <c r="W195" s="2"/>
      <c r="X195" s="7">
        <f t="shared" si="81"/>
        <v>-0.98</v>
      </c>
      <c r="Y195" s="2"/>
      <c r="Z195" s="8">
        <f t="shared" si="82"/>
        <v>-1</v>
      </c>
    </row>
    <row r="196" spans="1:26" s="24" customFormat="1" hidden="1" outlineLevel="2" x14ac:dyDescent="0.3">
      <c r="A196" s="27"/>
      <c r="B196" s="11" t="str">
        <f>CONCATENATE("          ", "6373", " - ", "MAINTENANCE CONTRACTS")</f>
        <v xml:space="preserve">          6373 - MAINTENANCE CONTRACTS</v>
      </c>
      <c r="C196" s="11"/>
      <c r="D196" s="7">
        <v>6010.42</v>
      </c>
      <c r="E196" s="2"/>
      <c r="F196" s="8">
        <f t="shared" si="75"/>
        <v>2.4152461156293869E-3</v>
      </c>
      <c r="G196" s="2"/>
      <c r="H196" s="7">
        <v>10884.93</v>
      </c>
      <c r="I196" s="2"/>
      <c r="J196" s="8">
        <f t="shared" si="76"/>
        <v>4.923097310721011E-3</v>
      </c>
      <c r="K196" s="2"/>
      <c r="L196" s="7">
        <f t="shared" si="77"/>
        <v>-4874.51</v>
      </c>
      <c r="M196" s="2"/>
      <c r="N196" s="8">
        <f t="shared" si="78"/>
        <v>-0.44782189687944712</v>
      </c>
      <c r="O196" s="11"/>
      <c r="P196" s="7">
        <v>128680.54</v>
      </c>
      <c r="Q196" s="2"/>
      <c r="R196" s="8">
        <f t="shared" si="79"/>
        <v>4.2998396167889939E-2</v>
      </c>
      <c r="S196" s="2"/>
      <c r="T196" s="7">
        <v>19656.18</v>
      </c>
      <c r="U196" s="2"/>
      <c r="V196" s="8">
        <f t="shared" si="80"/>
        <v>7.3128379310483382E-3</v>
      </c>
      <c r="W196" s="2"/>
      <c r="X196" s="7">
        <f t="shared" si="81"/>
        <v>109024.35999999999</v>
      </c>
      <c r="Y196" s="2"/>
      <c r="Z196" s="8">
        <f t="shared" si="82"/>
        <v>5.5465690688628202</v>
      </c>
    </row>
    <row r="197" spans="1:26" s="24" customFormat="1" hidden="1" outlineLevel="2" x14ac:dyDescent="0.3">
      <c r="A197" s="27"/>
      <c r="B197" s="11" t="str">
        <f>CONCATENATE("          ", "6375", " - ", "OUTSIDE REPAIRS &amp; MAINTENANCE")</f>
        <v xml:space="preserve">          6375 - OUTSIDE REPAIRS &amp; MAINTENANCE</v>
      </c>
      <c r="C197" s="11"/>
      <c r="D197" s="7">
        <v>21335.02</v>
      </c>
      <c r="E197" s="2"/>
      <c r="F197" s="8">
        <f t="shared" si="75"/>
        <v>8.5733316776323912E-3</v>
      </c>
      <c r="G197" s="2"/>
      <c r="H197" s="7">
        <v>3025.22</v>
      </c>
      <c r="I197" s="2"/>
      <c r="J197" s="8">
        <f t="shared" si="76"/>
        <v>1.3682635025066231E-3</v>
      </c>
      <c r="K197" s="2"/>
      <c r="L197" s="7">
        <f t="shared" si="77"/>
        <v>18309.8</v>
      </c>
      <c r="M197" s="2"/>
      <c r="N197" s="8">
        <f t="shared" si="78"/>
        <v>6.0523862727338837</v>
      </c>
      <c r="O197" s="11"/>
      <c r="P197" s="7">
        <v>29565.46</v>
      </c>
      <c r="Q197" s="2"/>
      <c r="R197" s="8">
        <f t="shared" si="79"/>
        <v>9.8792510659801661E-3</v>
      </c>
      <c r="S197" s="2"/>
      <c r="T197" s="7">
        <v>6399.02</v>
      </c>
      <c r="U197" s="2"/>
      <c r="V197" s="8">
        <f t="shared" si="80"/>
        <v>2.3806760101676388E-3</v>
      </c>
      <c r="W197" s="2"/>
      <c r="X197" s="7">
        <f t="shared" si="81"/>
        <v>23166.44</v>
      </c>
      <c r="Y197" s="2"/>
      <c r="Z197" s="8">
        <f t="shared" si="82"/>
        <v>3.6203106100621651</v>
      </c>
    </row>
    <row r="198" spans="1:26" s="28" customFormat="1" outlineLevel="1" collapsed="1" x14ac:dyDescent="0.3">
      <c r="A198" s="29"/>
      <c r="B198" s="14" t="str">
        <f>CONCATENATE("     ","Royalty &amp; Commissions                             ")</f>
        <v xml:space="preserve">     Royalty &amp; Commissions                             </v>
      </c>
      <c r="C198" s="14"/>
      <c r="D198" s="1">
        <f>SUM(OSRRefD22_18x_0)</f>
        <v>601.89</v>
      </c>
      <c r="E198" s="1"/>
      <c r="F198" s="5">
        <f t="shared" ref="F198:F201" si="83">IF(D$12=0,0,D198/D$12)</f>
        <v>2.4186537455555046E-4</v>
      </c>
      <c r="G198" s="1"/>
      <c r="H198" s="1">
        <f>SUM(OSRRefH22_18x_0)</f>
        <v>2254.65</v>
      </c>
      <c r="I198" s="1"/>
      <c r="J198" s="5">
        <f t="shared" ref="J198:J201" si="84">IF(H$12=0,0,H198/H$12)</f>
        <v>1.0197457725145802E-3</v>
      </c>
      <c r="K198" s="1"/>
      <c r="L198" s="1">
        <f t="shared" ref="L198:L201" si="85">+D198-H198</f>
        <v>-1652.7600000000002</v>
      </c>
      <c r="M198" s="1"/>
      <c r="N198" s="5">
        <f t="shared" ref="N198:N201" si="86">IF(H198=0,0,L198/H198)</f>
        <v>-0.73304504025014972</v>
      </c>
      <c r="O198" s="14"/>
      <c r="P198" s="1">
        <f>SUM(OSRRefP22_18x_0)</f>
        <v>7956.9900000000007</v>
      </c>
      <c r="Q198" s="1"/>
      <c r="R198" s="5">
        <f t="shared" ref="R198:R201" si="87">IF(P$12=0,0,P198/P$12)</f>
        <v>2.6588154535560592E-3</v>
      </c>
      <c r="S198" s="1"/>
      <c r="T198" s="1">
        <f>SUM(OSRRefT22_18x_0)</f>
        <v>13244.4</v>
      </c>
      <c r="U198" s="1"/>
      <c r="V198" s="5">
        <f t="shared" ref="V198:V201" si="88">IF(T$12=0,0,T198/T$12)</f>
        <v>4.9274147211704721E-3</v>
      </c>
      <c r="W198" s="1"/>
      <c r="X198" s="1">
        <f t="shared" ref="X198:X201" si="89">+P198-T198</f>
        <v>-5287.4099999999989</v>
      </c>
      <c r="Y198" s="1"/>
      <c r="Z198" s="5">
        <f t="shared" ref="Z198:Z201" si="90">IF(T198=0,0,X198/T198)</f>
        <v>-0.39921853764609944</v>
      </c>
    </row>
    <row r="199" spans="1:26" s="24" customFormat="1" hidden="1" outlineLevel="2" x14ac:dyDescent="0.3">
      <c r="A199" s="27"/>
      <c r="B199" s="11" t="str">
        <f>CONCATENATE("          ", "6253", " - ", "ROYALTY DUE ATHLETICS-LRG")</f>
        <v xml:space="preserve">          6253 - ROYALTY DUE ATHLETICS-LRG</v>
      </c>
      <c r="C199" s="11"/>
      <c r="D199" s="7"/>
      <c r="E199" s="2"/>
      <c r="F199" s="8">
        <f t="shared" si="83"/>
        <v>0</v>
      </c>
      <c r="G199" s="2"/>
      <c r="H199" s="7">
        <v>2250</v>
      </c>
      <c r="I199" s="2"/>
      <c r="J199" s="8">
        <f t="shared" si="84"/>
        <v>1.0176426443828555E-3</v>
      </c>
      <c r="K199" s="2"/>
      <c r="L199" s="7">
        <f t="shared" si="85"/>
        <v>-2250</v>
      </c>
      <c r="M199" s="2"/>
      <c r="N199" s="8">
        <f t="shared" si="86"/>
        <v>-1</v>
      </c>
      <c r="O199" s="11"/>
      <c r="P199" s="7">
        <v>14376.54</v>
      </c>
      <c r="Q199" s="2"/>
      <c r="R199" s="8">
        <f t="shared" si="87"/>
        <v>4.8038977956069854E-3</v>
      </c>
      <c r="S199" s="2"/>
      <c r="T199" s="7">
        <v>7922.2</v>
      </c>
      <c r="U199" s="2"/>
      <c r="V199" s="8">
        <f t="shared" si="88"/>
        <v>2.9473562338842617E-3</v>
      </c>
      <c r="W199" s="2"/>
      <c r="X199" s="7">
        <f t="shared" si="89"/>
        <v>6454.3400000000011</v>
      </c>
      <c r="Y199" s="2"/>
      <c r="Z199" s="8">
        <f t="shared" si="90"/>
        <v>0.81471560930044695</v>
      </c>
    </row>
    <row r="200" spans="1:26" s="24" customFormat="1" hidden="1" outlineLevel="2" x14ac:dyDescent="0.3">
      <c r="A200" s="27"/>
      <c r="B200" s="11" t="str">
        <f>CONCATENATE("          ", "6254", " - ", "ROYALTY &amp; COMMISSIONS")</f>
        <v xml:space="preserve">          6254 - ROYALTY &amp; COMMISSIONS</v>
      </c>
      <c r="C200" s="11"/>
      <c r="D200" s="7"/>
      <c r="E200" s="2"/>
      <c r="F200" s="8">
        <f t="shared" si="83"/>
        <v>0</v>
      </c>
      <c r="G200" s="2"/>
      <c r="H200" s="7"/>
      <c r="I200" s="2"/>
      <c r="J200" s="8">
        <f t="shared" si="84"/>
        <v>0</v>
      </c>
      <c r="K200" s="2"/>
      <c r="L200" s="7">
        <f t="shared" si="85"/>
        <v>0</v>
      </c>
      <c r="M200" s="2"/>
      <c r="N200" s="8">
        <f t="shared" si="86"/>
        <v>0</v>
      </c>
      <c r="O200" s="11"/>
      <c r="P200" s="7">
        <v>-7027.5</v>
      </c>
      <c r="Q200" s="2"/>
      <c r="R200" s="8">
        <f t="shared" si="87"/>
        <v>-2.3482278600155592E-3</v>
      </c>
      <c r="S200" s="2"/>
      <c r="T200" s="7"/>
      <c r="U200" s="2"/>
      <c r="V200" s="8">
        <f t="shared" si="88"/>
        <v>0</v>
      </c>
      <c r="W200" s="2"/>
      <c r="X200" s="7">
        <f t="shared" si="89"/>
        <v>-7027.5</v>
      </c>
      <c r="Y200" s="2"/>
      <c r="Z200" s="8">
        <f t="shared" si="90"/>
        <v>0</v>
      </c>
    </row>
    <row r="201" spans="1:26" s="24" customFormat="1" hidden="1" outlineLevel="2" x14ac:dyDescent="0.3">
      <c r="A201" s="27"/>
      <c r="B201" s="11" t="str">
        <f>CONCATENATE("          ", "6259", " - ", "ROYALTY &amp; COMMISSIONS")</f>
        <v xml:space="preserve">          6259 - ROYALTY &amp; COMMISSIONS</v>
      </c>
      <c r="C201" s="11"/>
      <c r="D201" s="7">
        <v>601.89</v>
      </c>
      <c r="E201" s="2"/>
      <c r="F201" s="8">
        <f t="shared" si="83"/>
        <v>2.4186537455555046E-4</v>
      </c>
      <c r="G201" s="2"/>
      <c r="H201" s="7">
        <v>4.6500000000000004</v>
      </c>
      <c r="I201" s="2"/>
      <c r="J201" s="8">
        <f t="shared" si="84"/>
        <v>2.103128131724568E-6</v>
      </c>
      <c r="K201" s="2"/>
      <c r="L201" s="7">
        <f t="shared" si="85"/>
        <v>597.24</v>
      </c>
      <c r="M201" s="2"/>
      <c r="N201" s="8">
        <f t="shared" si="86"/>
        <v>128.43870967741935</v>
      </c>
      <c r="O201" s="11"/>
      <c r="P201" s="7">
        <v>607.95000000000005</v>
      </c>
      <c r="Q201" s="2"/>
      <c r="R201" s="8">
        <f t="shared" si="87"/>
        <v>2.0314551796463313E-4</v>
      </c>
      <c r="S201" s="2"/>
      <c r="T201" s="7">
        <v>5322.2</v>
      </c>
      <c r="U201" s="2"/>
      <c r="V201" s="8">
        <f t="shared" si="88"/>
        <v>1.9800584872862103E-3</v>
      </c>
      <c r="W201" s="2"/>
      <c r="X201" s="7">
        <f t="shared" si="89"/>
        <v>-4714.25</v>
      </c>
      <c r="Y201" s="2"/>
      <c r="Z201" s="8">
        <f t="shared" si="90"/>
        <v>-0.88577092179925598</v>
      </c>
    </row>
    <row r="202" spans="1:26" s="28" customFormat="1" outlineLevel="1" collapsed="1" x14ac:dyDescent="0.3">
      <c r="A202" s="29"/>
      <c r="B202" s="14" t="str">
        <f>CONCATENATE("     ","Services                                          ")</f>
        <v xml:space="preserve">     Services                                          </v>
      </c>
      <c r="C202" s="14"/>
      <c r="D202" s="1">
        <f>SUM(OSRRefD22_19x_0)</f>
        <v>50552.71</v>
      </c>
      <c r="E202" s="1"/>
      <c r="F202" s="5">
        <f t="shared" ref="F202:F207" si="91">IF(D$12=0,0,D202/D$12)</f>
        <v>2.0314260311598664E-2</v>
      </c>
      <c r="G202" s="1"/>
      <c r="H202" s="1">
        <f>SUM(OSRRefH22_19x_0)</f>
        <v>11874.029999999999</v>
      </c>
      <c r="I202" s="1"/>
      <c r="J202" s="5">
        <f t="shared" ref="J202:J207" si="92">IF(H$12=0,0,H202/H$12)</f>
        <v>5.3704530171917141E-3</v>
      </c>
      <c r="K202" s="1"/>
      <c r="L202" s="1">
        <f t="shared" ref="L202:L207" si="93">+D202-H202</f>
        <v>38678.68</v>
      </c>
      <c r="M202" s="1"/>
      <c r="N202" s="5">
        <f t="shared" ref="N202:N207" si="94">IF(H202=0,0,L202/H202)</f>
        <v>3.2574180796241885</v>
      </c>
      <c r="O202" s="14"/>
      <c r="P202" s="1">
        <f>SUM(OSRRefP22_19x_0)</f>
        <v>72379.029999999984</v>
      </c>
      <c r="Q202" s="1"/>
      <c r="R202" s="5">
        <f t="shared" ref="R202:R207" si="95">IF(P$12=0,0,P202/P$12)</f>
        <v>2.4185336851924855E-2</v>
      </c>
      <c r="S202" s="1"/>
      <c r="T202" s="1">
        <f>SUM(OSRRefT22_19x_0)</f>
        <v>27713.040000000001</v>
      </c>
      <c r="U202" s="1"/>
      <c r="V202" s="5">
        <f t="shared" ref="V202:V207" si="96">IF(T$12=0,0,T202/T$12)</f>
        <v>1.0310292747454482E-2</v>
      </c>
      <c r="W202" s="1"/>
      <c r="X202" s="1">
        <f t="shared" ref="X202:X207" si="97">+P202-T202</f>
        <v>44665.989999999983</v>
      </c>
      <c r="Y202" s="1"/>
      <c r="Z202" s="5">
        <f t="shared" ref="Z202:Z207" si="98">IF(T202=0,0,X202/T202)</f>
        <v>1.6117318778452303</v>
      </c>
    </row>
    <row r="203" spans="1:26" s="24" customFormat="1" hidden="1" outlineLevel="2" x14ac:dyDescent="0.3">
      <c r="A203" s="27"/>
      <c r="B203" s="11" t="str">
        <f>CONCATENATE("          ", "6282", " - ", "JANITORIAL/EXTERMINATOR EXPENS")</f>
        <v xml:space="preserve">          6282 - JANITORIAL/EXTERMINATOR EXPENS</v>
      </c>
      <c r="C203" s="11"/>
      <c r="D203" s="7">
        <v>2054.2399999999998</v>
      </c>
      <c r="E203" s="2"/>
      <c r="F203" s="8">
        <f t="shared" si="91"/>
        <v>8.2548227587598048E-4</v>
      </c>
      <c r="G203" s="2"/>
      <c r="H203" s="7">
        <v>967.1</v>
      </c>
      <c r="I203" s="2"/>
      <c r="J203" s="8">
        <f t="shared" si="92"/>
        <v>4.3740542283673761E-4</v>
      </c>
      <c r="K203" s="2"/>
      <c r="L203" s="7">
        <f t="shared" si="93"/>
        <v>1087.1399999999999</v>
      </c>
      <c r="M203" s="2"/>
      <c r="N203" s="8">
        <f t="shared" si="94"/>
        <v>1.1241236687002376</v>
      </c>
      <c r="O203" s="11"/>
      <c r="P203" s="7">
        <v>4384.6899999999996</v>
      </c>
      <c r="Q203" s="2"/>
      <c r="R203" s="8">
        <f t="shared" si="95"/>
        <v>1.4651371349031124E-3</v>
      </c>
      <c r="S203" s="2"/>
      <c r="T203" s="7">
        <v>2611.9</v>
      </c>
      <c r="U203" s="2"/>
      <c r="V203" s="8">
        <f t="shared" si="96"/>
        <v>9.7172499397671136E-4</v>
      </c>
      <c r="W203" s="2"/>
      <c r="X203" s="7">
        <f t="shared" si="97"/>
        <v>1772.7899999999995</v>
      </c>
      <c r="Y203" s="2"/>
      <c r="Z203" s="8">
        <f t="shared" si="98"/>
        <v>0.67873578620927277</v>
      </c>
    </row>
    <row r="204" spans="1:26" s="24" customFormat="1" hidden="1" outlineLevel="2" x14ac:dyDescent="0.3">
      <c r="A204" s="27"/>
      <c r="B204" s="11" t="str">
        <f>CONCATENATE("          ", "6283", " - ", "PLANT SERVICE")</f>
        <v xml:space="preserve">          6283 - PLANT SERVICE</v>
      </c>
      <c r="C204" s="11"/>
      <c r="D204" s="7"/>
      <c r="E204" s="2"/>
      <c r="F204" s="8">
        <f t="shared" si="91"/>
        <v>0</v>
      </c>
      <c r="G204" s="2"/>
      <c r="H204" s="7"/>
      <c r="I204" s="2"/>
      <c r="J204" s="8">
        <f t="shared" si="92"/>
        <v>0</v>
      </c>
      <c r="K204" s="2"/>
      <c r="L204" s="7">
        <f t="shared" si="93"/>
        <v>0</v>
      </c>
      <c r="M204" s="2"/>
      <c r="N204" s="8">
        <f t="shared" si="94"/>
        <v>0</v>
      </c>
      <c r="O204" s="11"/>
      <c r="P204" s="7"/>
      <c r="Q204" s="2"/>
      <c r="R204" s="8">
        <f t="shared" si="95"/>
        <v>0</v>
      </c>
      <c r="S204" s="2"/>
      <c r="T204" s="7">
        <v>130</v>
      </c>
      <c r="U204" s="2"/>
      <c r="V204" s="8">
        <f t="shared" si="96"/>
        <v>4.8364887329902554E-5</v>
      </c>
      <c r="W204" s="2"/>
      <c r="X204" s="7">
        <f t="shared" si="97"/>
        <v>-130</v>
      </c>
      <c r="Y204" s="2"/>
      <c r="Z204" s="8">
        <f t="shared" si="98"/>
        <v>-1</v>
      </c>
    </row>
    <row r="205" spans="1:26" s="24" customFormat="1" hidden="1" outlineLevel="2" x14ac:dyDescent="0.3">
      <c r="A205" s="27"/>
      <c r="B205" s="11" t="str">
        <f>CONCATENATE("          ", "6284", " - ", "TRASH REMOVAL EXPENSE")</f>
        <v xml:space="preserve">          6284 - TRASH REMOVAL EXPENSE</v>
      </c>
      <c r="C205" s="11"/>
      <c r="D205" s="7">
        <v>149.69999999999999</v>
      </c>
      <c r="E205" s="2"/>
      <c r="F205" s="8">
        <f t="shared" si="91"/>
        <v>6.0155919804226521E-5</v>
      </c>
      <c r="G205" s="2"/>
      <c r="H205" s="7">
        <v>1142.57</v>
      </c>
      <c r="I205" s="2"/>
      <c r="J205" s="8">
        <f t="shared" si="92"/>
        <v>5.1676798053000854E-4</v>
      </c>
      <c r="K205" s="2"/>
      <c r="L205" s="7">
        <f t="shared" si="93"/>
        <v>-992.86999999999989</v>
      </c>
      <c r="M205" s="2"/>
      <c r="N205" s="8">
        <f t="shared" si="94"/>
        <v>-0.86897958111975626</v>
      </c>
      <c r="O205" s="11"/>
      <c r="P205" s="7">
        <v>292.27</v>
      </c>
      <c r="Q205" s="2"/>
      <c r="R205" s="8">
        <f t="shared" si="95"/>
        <v>9.7661551995268232E-5</v>
      </c>
      <c r="S205" s="2"/>
      <c r="T205" s="7">
        <v>2285.14</v>
      </c>
      <c r="U205" s="2"/>
      <c r="V205" s="8">
        <f t="shared" si="96"/>
        <v>8.5015798948502705E-4</v>
      </c>
      <c r="W205" s="2"/>
      <c r="X205" s="7">
        <f t="shared" si="97"/>
        <v>-1992.87</v>
      </c>
      <c r="Y205" s="2"/>
      <c r="Z205" s="8">
        <f t="shared" si="98"/>
        <v>-0.87209974005969004</v>
      </c>
    </row>
    <row r="206" spans="1:26" s="24" customFormat="1" hidden="1" outlineLevel="2" x14ac:dyDescent="0.3">
      <c r="A206" s="27"/>
      <c r="B206" s="11" t="str">
        <f>CONCATENATE("          ", "6285", " - ", "JANITORIAL SERVICES")</f>
        <v xml:space="preserve">          6285 - JANITORIAL SERVICES</v>
      </c>
      <c r="C206" s="11"/>
      <c r="D206" s="7">
        <v>45794.2</v>
      </c>
      <c r="E206" s="2"/>
      <c r="F206" s="8">
        <f t="shared" si="91"/>
        <v>1.840208565597001E-2</v>
      </c>
      <c r="G206" s="2"/>
      <c r="H206" s="7">
        <v>7251.9</v>
      </c>
      <c r="I206" s="2"/>
      <c r="J206" s="8">
        <f t="shared" si="92"/>
        <v>3.2799300856889021E-3</v>
      </c>
      <c r="K206" s="2"/>
      <c r="L206" s="7">
        <f t="shared" si="93"/>
        <v>38542.299999999996</v>
      </c>
      <c r="M206" s="2"/>
      <c r="N206" s="8">
        <f t="shared" si="94"/>
        <v>5.3147864697527538</v>
      </c>
      <c r="O206" s="11"/>
      <c r="P206" s="7">
        <v>64064.53</v>
      </c>
      <c r="Q206" s="2"/>
      <c r="R206" s="8">
        <f t="shared" si="95"/>
        <v>2.1407060004952343E-2</v>
      </c>
      <c r="S206" s="2"/>
      <c r="T206" s="7">
        <v>18236.07</v>
      </c>
      <c r="U206" s="2"/>
      <c r="V206" s="8">
        <f t="shared" si="96"/>
        <v>6.7845036222324313E-3</v>
      </c>
      <c r="W206" s="2"/>
      <c r="X206" s="7">
        <f t="shared" si="97"/>
        <v>45828.46</v>
      </c>
      <c r="Y206" s="2"/>
      <c r="Z206" s="8">
        <f t="shared" si="98"/>
        <v>2.5130666859690711</v>
      </c>
    </row>
    <row r="207" spans="1:26" s="24" customFormat="1" hidden="1" outlineLevel="2" x14ac:dyDescent="0.3">
      <c r="A207" s="27"/>
      <c r="B207" s="11" t="str">
        <f>CONCATENATE("          ", "6286", " - ", "LAUNDRY EXPENSE")</f>
        <v xml:space="preserve">          6286 - LAUNDRY EXPENSE</v>
      </c>
      <c r="C207" s="11"/>
      <c r="D207" s="7">
        <v>2554.5700000000002</v>
      </c>
      <c r="E207" s="2"/>
      <c r="F207" s="8">
        <f t="shared" si="91"/>
        <v>1.02653645994845E-3</v>
      </c>
      <c r="G207" s="2"/>
      <c r="H207" s="7">
        <v>2512.46</v>
      </c>
      <c r="I207" s="2"/>
      <c r="J207" s="8">
        <f t="shared" si="92"/>
        <v>1.1363495281360664E-3</v>
      </c>
      <c r="K207" s="2"/>
      <c r="L207" s="7">
        <f t="shared" si="93"/>
        <v>42.110000000000127</v>
      </c>
      <c r="M207" s="2"/>
      <c r="N207" s="8">
        <f t="shared" si="94"/>
        <v>1.6760465838262153E-2</v>
      </c>
      <c r="O207" s="11"/>
      <c r="P207" s="7">
        <v>3637.54</v>
      </c>
      <c r="Q207" s="2"/>
      <c r="R207" s="8">
        <f t="shared" si="95"/>
        <v>1.215478160074137E-3</v>
      </c>
      <c r="S207" s="2"/>
      <c r="T207" s="7">
        <v>4449.93</v>
      </c>
      <c r="U207" s="2"/>
      <c r="V207" s="8">
        <f t="shared" si="96"/>
        <v>1.6555412544304099E-3</v>
      </c>
      <c r="W207" s="2"/>
      <c r="X207" s="7">
        <f t="shared" si="97"/>
        <v>-812.39000000000033</v>
      </c>
      <c r="Y207" s="2"/>
      <c r="Z207" s="8">
        <f t="shared" si="98"/>
        <v>-0.18256242233023898</v>
      </c>
    </row>
    <row r="208" spans="1:26" s="28" customFormat="1" outlineLevel="1" collapsed="1" x14ac:dyDescent="0.3">
      <c r="A208" s="29"/>
      <c r="B208" s="14" t="str">
        <f>CONCATENATE("     ","Subscriptions &amp; Dues                              ")</f>
        <v xml:space="preserve">     Subscriptions &amp; Dues                              </v>
      </c>
      <c r="C208" s="14"/>
      <c r="D208" s="1">
        <f>SUM(OSRRefD22_20x_0)</f>
        <v>650.59</v>
      </c>
      <c r="E208" s="1"/>
      <c r="F208" s="5">
        <f t="shared" ref="F208:F210" si="99">IF(D$12=0,0,D208/D$12)</f>
        <v>2.6143513604162818E-4</v>
      </c>
      <c r="G208" s="1"/>
      <c r="H208" s="1">
        <f>SUM(OSRRefH22_20x_0)</f>
        <v>270</v>
      </c>
      <c r="I208" s="1"/>
      <c r="J208" s="5">
        <f t="shared" ref="J208:J210" si="100">IF(H$12=0,0,H208/H$12)</f>
        <v>1.2211711732594267E-4</v>
      </c>
      <c r="K208" s="1"/>
      <c r="L208" s="1">
        <f t="shared" ref="L208:L210" si="101">+D208-H208</f>
        <v>380.59000000000003</v>
      </c>
      <c r="M208" s="1"/>
      <c r="N208" s="5">
        <f t="shared" ref="N208:N210" si="102">IF(H208=0,0,L208/H208)</f>
        <v>1.4095925925925927</v>
      </c>
      <c r="O208" s="14"/>
      <c r="P208" s="1">
        <f>SUM(OSRRefP22_20x_0)</f>
        <v>849.57999999999993</v>
      </c>
      <c r="Q208" s="1"/>
      <c r="R208" s="5">
        <f t="shared" ref="R208:R210" si="103">IF(P$12=0,0,P208/P$12)</f>
        <v>2.838857951351147E-4</v>
      </c>
      <c r="S208" s="1"/>
      <c r="T208" s="1">
        <f>SUM(OSRRefT22_20x_0)</f>
        <v>644.31999999999994</v>
      </c>
      <c r="U208" s="1"/>
      <c r="V208" s="5">
        <f t="shared" ref="V208:V210" si="104">IF(T$12=0,0,T208/T$12)</f>
        <v>2.3971126311079084E-4</v>
      </c>
      <c r="W208" s="1"/>
      <c r="X208" s="1">
        <f t="shared" ref="X208:X210" si="105">+P208-T208</f>
        <v>205.26</v>
      </c>
      <c r="Y208" s="1"/>
      <c r="Z208" s="5">
        <f t="shared" ref="Z208:Z210" si="106">IF(T208=0,0,X208/T208)</f>
        <v>0.31856841321082696</v>
      </c>
    </row>
    <row r="209" spans="1:26" s="24" customFormat="1" hidden="1" outlineLevel="2" x14ac:dyDescent="0.3">
      <c r="A209" s="27"/>
      <c r="B209" s="11" t="str">
        <f>CONCATENATE("          ", "6258", " - ", "MEMBERSHIP DUES")</f>
        <v xml:space="preserve">          6258 - MEMBERSHIP DUES</v>
      </c>
      <c r="C209" s="11"/>
      <c r="D209" s="7">
        <v>57</v>
      </c>
      <c r="E209" s="2"/>
      <c r="F209" s="8">
        <f t="shared" si="99"/>
        <v>2.2905059644895873E-5</v>
      </c>
      <c r="G209" s="2"/>
      <c r="H209" s="7">
        <v>270</v>
      </c>
      <c r="I209" s="2"/>
      <c r="J209" s="8">
        <f t="shared" si="100"/>
        <v>1.2211711732594267E-4</v>
      </c>
      <c r="K209" s="2"/>
      <c r="L209" s="7">
        <f t="shared" si="101"/>
        <v>-213</v>
      </c>
      <c r="M209" s="2"/>
      <c r="N209" s="8">
        <f t="shared" si="102"/>
        <v>-0.78888888888888886</v>
      </c>
      <c r="O209" s="11"/>
      <c r="P209" s="7">
        <v>125.32</v>
      </c>
      <c r="Q209" s="2"/>
      <c r="R209" s="8">
        <f t="shared" si="103"/>
        <v>4.1875477113788671E-5</v>
      </c>
      <c r="S209" s="2"/>
      <c r="T209" s="7">
        <v>560</v>
      </c>
      <c r="U209" s="2"/>
      <c r="V209" s="8">
        <f t="shared" si="104"/>
        <v>2.0834105311342638E-4</v>
      </c>
      <c r="W209" s="2"/>
      <c r="X209" s="7">
        <f t="shared" si="105"/>
        <v>-434.68</v>
      </c>
      <c r="Y209" s="2"/>
      <c r="Z209" s="8">
        <f t="shared" si="106"/>
        <v>-0.77621428571428575</v>
      </c>
    </row>
    <row r="210" spans="1:26" s="24" customFormat="1" hidden="1" outlineLevel="2" x14ac:dyDescent="0.3">
      <c r="A210" s="27"/>
      <c r="B210" s="11" t="str">
        <f>CONCATENATE("          ", "6275", " - ", "SUBSCRIPTIONS")</f>
        <v xml:space="preserve">          6275 - SUBSCRIPTIONS</v>
      </c>
      <c r="C210" s="11"/>
      <c r="D210" s="7">
        <v>593.59</v>
      </c>
      <c r="E210" s="2"/>
      <c r="F210" s="8">
        <f t="shared" si="99"/>
        <v>2.3853007639673229E-4</v>
      </c>
      <c r="G210" s="2"/>
      <c r="H210" s="7"/>
      <c r="I210" s="2"/>
      <c r="J210" s="8">
        <f t="shared" si="100"/>
        <v>0</v>
      </c>
      <c r="K210" s="2"/>
      <c r="L210" s="7">
        <f t="shared" si="101"/>
        <v>593.59</v>
      </c>
      <c r="M210" s="2"/>
      <c r="N210" s="8">
        <f t="shared" si="102"/>
        <v>0</v>
      </c>
      <c r="O210" s="11"/>
      <c r="P210" s="7">
        <v>724.26</v>
      </c>
      <c r="Q210" s="2"/>
      <c r="R210" s="8">
        <f t="shared" si="103"/>
        <v>2.4201031802132607E-4</v>
      </c>
      <c r="S210" s="2"/>
      <c r="T210" s="7">
        <v>84.32</v>
      </c>
      <c r="U210" s="2"/>
      <c r="V210" s="8">
        <f t="shared" si="104"/>
        <v>3.1370209997364481E-5</v>
      </c>
      <c r="W210" s="2"/>
      <c r="X210" s="7">
        <f t="shared" si="105"/>
        <v>639.94000000000005</v>
      </c>
      <c r="Y210" s="2"/>
      <c r="Z210" s="8">
        <f t="shared" si="106"/>
        <v>7.5894212523719178</v>
      </c>
    </row>
    <row r="211" spans="1:26" s="28" customFormat="1" outlineLevel="1" collapsed="1" x14ac:dyDescent="0.3">
      <c r="A211" s="29"/>
      <c r="B211" s="14" t="str">
        <f>CONCATENATE("     ","Supplies                                          ")</f>
        <v xml:space="preserve">     Supplies                                          </v>
      </c>
      <c r="C211" s="14"/>
      <c r="D211" s="1">
        <f>SUM(OSRRefD22_21x_0)</f>
        <v>44678.270000000004</v>
      </c>
      <c r="E211" s="1"/>
      <c r="F211" s="5">
        <f t="shared" ref="F211:F220" si="107">IF(D$12=0,0,D211/D$12)</f>
        <v>1.7953656827732666E-2</v>
      </c>
      <c r="G211" s="1"/>
      <c r="H211" s="1">
        <f>SUM(OSRRefH22_21x_0)</f>
        <v>34496.480000000003</v>
      </c>
      <c r="I211" s="1"/>
      <c r="J211" s="5">
        <f t="shared" ref="J211:J220" si="108">IF(H$12=0,0,H211/H$12)</f>
        <v>1.5602261835155685E-2</v>
      </c>
      <c r="K211" s="1"/>
      <c r="L211" s="1">
        <f t="shared" ref="L211:L220" si="109">+D211-H211</f>
        <v>10181.790000000001</v>
      </c>
      <c r="M211" s="1"/>
      <c r="N211" s="5">
        <f t="shared" ref="N211:N220" si="110">IF(H211=0,0,L211/H211)</f>
        <v>0.29515446213642665</v>
      </c>
      <c r="O211" s="14"/>
      <c r="P211" s="1">
        <f>SUM(OSRRefP22_21x_0)</f>
        <v>61216.47</v>
      </c>
      <c r="Q211" s="1"/>
      <c r="R211" s="5">
        <f t="shared" ref="R211:R220" si="111">IF(P$12=0,0,P211/P$12)</f>
        <v>2.0455385321352784E-2</v>
      </c>
      <c r="S211" s="1"/>
      <c r="T211" s="1">
        <f>SUM(OSRRefT22_21x_0)</f>
        <v>54339.040000000001</v>
      </c>
      <c r="U211" s="1"/>
      <c r="V211" s="5">
        <f t="shared" ref="V211:V220" si="112">IF(T$12=0,0,T211/T$12)</f>
        <v>2.0216165747808216E-2</v>
      </c>
      <c r="W211" s="1"/>
      <c r="X211" s="1">
        <f t="shared" ref="X211:X220" si="113">+P211-T211</f>
        <v>6877.43</v>
      </c>
      <c r="Y211" s="1"/>
      <c r="Z211" s="5">
        <f t="shared" ref="Z211:Z220" si="114">IF(T211=0,0,X211/T211)</f>
        <v>0.12656517303213308</v>
      </c>
    </row>
    <row r="212" spans="1:26" s="24" customFormat="1" hidden="1" outlineLevel="2" x14ac:dyDescent="0.3">
      <c r="A212" s="27"/>
      <c r="B212" s="11" t="str">
        <f>CONCATENATE("          ", "6234", " - ", "EXPENDABLE SUPPLIES &amp; EQUIPMEN")</f>
        <v xml:space="preserve">          6234 - EXPENDABLE SUPPLIES &amp; EQUIPMEN</v>
      </c>
      <c r="C212" s="11"/>
      <c r="D212" s="7"/>
      <c r="E212" s="2"/>
      <c r="F212" s="8">
        <f t="shared" si="107"/>
        <v>0</v>
      </c>
      <c r="G212" s="2"/>
      <c r="H212" s="7">
        <v>255.78</v>
      </c>
      <c r="I212" s="2"/>
      <c r="J212" s="8">
        <f t="shared" si="108"/>
        <v>1.1568561581344302E-4</v>
      </c>
      <c r="K212" s="2"/>
      <c r="L212" s="7">
        <f t="shared" si="109"/>
        <v>-255.78</v>
      </c>
      <c r="M212" s="2"/>
      <c r="N212" s="8">
        <f t="shared" si="110"/>
        <v>-1</v>
      </c>
      <c r="O212" s="11"/>
      <c r="P212" s="7"/>
      <c r="Q212" s="2"/>
      <c r="R212" s="8">
        <f t="shared" si="111"/>
        <v>0</v>
      </c>
      <c r="S212" s="2"/>
      <c r="T212" s="7">
        <v>255.78</v>
      </c>
      <c r="U212" s="2"/>
      <c r="V212" s="8">
        <f t="shared" si="112"/>
        <v>9.5159776009557504E-5</v>
      </c>
      <c r="W212" s="2"/>
      <c r="X212" s="7">
        <f t="shared" si="113"/>
        <v>-255.78</v>
      </c>
      <c r="Y212" s="2"/>
      <c r="Z212" s="8">
        <f t="shared" si="114"/>
        <v>-1</v>
      </c>
    </row>
    <row r="213" spans="1:26" s="24" customFormat="1" hidden="1" outlineLevel="2" x14ac:dyDescent="0.3">
      <c r="A213" s="27"/>
      <c r="B213" s="11" t="str">
        <f>CONCATENATE("          ", "6235", " - ", "COVID-19 EXPENSES")</f>
        <v xml:space="preserve">          6235 - COVID-19 EXPENSES</v>
      </c>
      <c r="C213" s="11"/>
      <c r="D213" s="7">
        <v>2695.61</v>
      </c>
      <c r="E213" s="2"/>
      <c r="F213" s="8">
        <f t="shared" si="107"/>
        <v>1.0832124180592589E-3</v>
      </c>
      <c r="G213" s="2"/>
      <c r="H213" s="7">
        <v>9615.5400000000009</v>
      </c>
      <c r="I213" s="2"/>
      <c r="J213" s="8">
        <f t="shared" si="108"/>
        <v>4.3489704678973881E-3</v>
      </c>
      <c r="K213" s="2"/>
      <c r="L213" s="7">
        <f t="shared" si="109"/>
        <v>-6919.93</v>
      </c>
      <c r="M213" s="2"/>
      <c r="N213" s="8">
        <f t="shared" si="110"/>
        <v>-0.71966109027678105</v>
      </c>
      <c r="O213" s="11"/>
      <c r="P213" s="7">
        <v>2967.83</v>
      </c>
      <c r="Q213" s="2"/>
      <c r="R213" s="8">
        <f t="shared" si="111"/>
        <v>9.9169563710992201E-4</v>
      </c>
      <c r="S213" s="2"/>
      <c r="T213" s="7">
        <v>22004.98</v>
      </c>
      <c r="U213" s="2"/>
      <c r="V213" s="8">
        <f t="shared" si="112"/>
        <v>8.1866798338212244E-3</v>
      </c>
      <c r="W213" s="2"/>
      <c r="X213" s="7">
        <f t="shared" si="113"/>
        <v>-19037.150000000001</v>
      </c>
      <c r="Y213" s="2"/>
      <c r="Z213" s="8">
        <f t="shared" si="114"/>
        <v>-0.86512916621601121</v>
      </c>
    </row>
    <row r="214" spans="1:26" s="24" customFormat="1" hidden="1" outlineLevel="2" x14ac:dyDescent="0.3">
      <c r="A214" s="27"/>
      <c r="B214" s="11" t="str">
        <f>CONCATENATE("          ", "6237", " - ", "JANITORIAL SUPPLIES")</f>
        <v xml:space="preserve">          6237 - JANITORIAL SUPPLIES</v>
      </c>
      <c r="C214" s="11"/>
      <c r="D214" s="7">
        <v>5053.05</v>
      </c>
      <c r="E214" s="2"/>
      <c r="F214" s="8">
        <f t="shared" si="107"/>
        <v>2.0305335375200191E-3</v>
      </c>
      <c r="G214" s="2"/>
      <c r="H214" s="7">
        <v>1416.91</v>
      </c>
      <c r="I214" s="2"/>
      <c r="J214" s="8">
        <f t="shared" si="108"/>
        <v>6.408480174455608E-4</v>
      </c>
      <c r="K214" s="2"/>
      <c r="L214" s="7">
        <f t="shared" si="109"/>
        <v>3636.1400000000003</v>
      </c>
      <c r="M214" s="2"/>
      <c r="N214" s="8">
        <f t="shared" si="110"/>
        <v>2.5662462682880354</v>
      </c>
      <c r="O214" s="11"/>
      <c r="P214" s="7">
        <v>10413.14</v>
      </c>
      <c r="Q214" s="2"/>
      <c r="R214" s="8">
        <f t="shared" si="111"/>
        <v>3.4795340388818811E-3</v>
      </c>
      <c r="S214" s="2"/>
      <c r="T214" s="7">
        <v>2744.26</v>
      </c>
      <c r="U214" s="2"/>
      <c r="V214" s="8">
        <f t="shared" si="112"/>
        <v>1.0209678900304491E-3</v>
      </c>
      <c r="W214" s="2"/>
      <c r="X214" s="7">
        <f t="shared" si="113"/>
        <v>7668.8799999999992</v>
      </c>
      <c r="Y214" s="2"/>
      <c r="Z214" s="8">
        <f t="shared" si="114"/>
        <v>2.7945165545538684</v>
      </c>
    </row>
    <row r="215" spans="1:26" s="24" customFormat="1" hidden="1" outlineLevel="2" x14ac:dyDescent="0.3">
      <c r="A215" s="27"/>
      <c r="B215" s="11" t="str">
        <f>CONCATENATE("          ", "6239", " - ", "KITCHEN SUPPLIES")</f>
        <v xml:space="preserve">          6239 - KITCHEN SUPPLIES</v>
      </c>
      <c r="C215" s="11"/>
      <c r="D215" s="7">
        <v>3069.8</v>
      </c>
      <c r="E215" s="2"/>
      <c r="F215" s="8">
        <f t="shared" si="107"/>
        <v>1.2335781069807254E-3</v>
      </c>
      <c r="G215" s="2"/>
      <c r="H215" s="7">
        <v>2324.31</v>
      </c>
      <c r="I215" s="2"/>
      <c r="J215" s="8">
        <f t="shared" si="108"/>
        <v>1.0512519887846733E-3</v>
      </c>
      <c r="K215" s="2"/>
      <c r="L215" s="7">
        <f t="shared" si="109"/>
        <v>745.49000000000024</v>
      </c>
      <c r="M215" s="2"/>
      <c r="N215" s="8">
        <f t="shared" si="110"/>
        <v>0.32073604639656511</v>
      </c>
      <c r="O215" s="11"/>
      <c r="P215" s="7">
        <v>3101.83</v>
      </c>
      <c r="Q215" s="2"/>
      <c r="R215" s="8">
        <f t="shared" si="111"/>
        <v>1.036471522309792E-3</v>
      </c>
      <c r="S215" s="2"/>
      <c r="T215" s="7">
        <v>2374.31</v>
      </c>
      <c r="U215" s="2"/>
      <c r="V215" s="8">
        <f t="shared" si="112"/>
        <v>8.8333258181739181E-4</v>
      </c>
      <c r="W215" s="2"/>
      <c r="X215" s="7">
        <f t="shared" si="113"/>
        <v>727.52</v>
      </c>
      <c r="Y215" s="2"/>
      <c r="Z215" s="8">
        <f t="shared" si="114"/>
        <v>0.30641323163361145</v>
      </c>
    </row>
    <row r="216" spans="1:26" s="24" customFormat="1" hidden="1" outlineLevel="2" x14ac:dyDescent="0.3">
      <c r="A216" s="27"/>
      <c r="B216" s="11" t="str">
        <f>CONCATENATE("          ", "6241", " - ", "OFFICE EXPENSE")</f>
        <v xml:space="preserve">          6241 - OFFICE EXPENSE</v>
      </c>
      <c r="C216" s="11"/>
      <c r="D216" s="7">
        <v>11881.58</v>
      </c>
      <c r="E216" s="2"/>
      <c r="F216" s="8">
        <f t="shared" si="107"/>
        <v>4.7745315539579275E-3</v>
      </c>
      <c r="G216" s="2"/>
      <c r="H216" s="7">
        <v>9177.66</v>
      </c>
      <c r="I216" s="2"/>
      <c r="J216" s="8">
        <f t="shared" si="108"/>
        <v>4.150923640731892E-3</v>
      </c>
      <c r="K216" s="2"/>
      <c r="L216" s="7">
        <f t="shared" si="109"/>
        <v>2703.92</v>
      </c>
      <c r="M216" s="2"/>
      <c r="N216" s="8">
        <f t="shared" si="110"/>
        <v>0.29461976146425123</v>
      </c>
      <c r="O216" s="11"/>
      <c r="P216" s="7">
        <v>13742.23</v>
      </c>
      <c r="Q216" s="2"/>
      <c r="R216" s="8">
        <f t="shared" si="111"/>
        <v>4.5919441258970642E-3</v>
      </c>
      <c r="S216" s="2"/>
      <c r="T216" s="7">
        <v>9667.4599999999991</v>
      </c>
      <c r="U216" s="2"/>
      <c r="V216" s="8">
        <f t="shared" si="112"/>
        <v>3.5966585666641513E-3</v>
      </c>
      <c r="W216" s="2"/>
      <c r="X216" s="7">
        <f t="shared" si="113"/>
        <v>4074.7700000000004</v>
      </c>
      <c r="Y216" s="2"/>
      <c r="Z216" s="8">
        <f t="shared" si="114"/>
        <v>0.42149333951213669</v>
      </c>
    </row>
    <row r="217" spans="1:26" s="24" customFormat="1" hidden="1" outlineLevel="2" x14ac:dyDescent="0.3">
      <c r="A217" s="27"/>
      <c r="B217" s="11" t="str">
        <f>CONCATENATE("          ", "6243", " - ", "PAPER SUPPLIES")</f>
        <v xml:space="preserve">          6243 - PAPER SUPPLIES</v>
      </c>
      <c r="C217" s="11"/>
      <c r="D217" s="7">
        <v>16472.22</v>
      </c>
      <c r="E217" s="2"/>
      <c r="F217" s="8">
        <f t="shared" si="107"/>
        <v>6.6192487997166084E-3</v>
      </c>
      <c r="G217" s="2"/>
      <c r="H217" s="7">
        <v>5056.9799999999996</v>
      </c>
      <c r="I217" s="2"/>
      <c r="J217" s="8">
        <f t="shared" si="108"/>
        <v>2.2871993332405386E-3</v>
      </c>
      <c r="K217" s="2"/>
      <c r="L217" s="7">
        <f t="shared" si="109"/>
        <v>11415.240000000002</v>
      </c>
      <c r="M217" s="2"/>
      <c r="N217" s="8">
        <f t="shared" si="110"/>
        <v>2.2573235409275898</v>
      </c>
      <c r="O217" s="11"/>
      <c r="P217" s="7">
        <v>19349.91</v>
      </c>
      <c r="Q217" s="2"/>
      <c r="R217" s="8">
        <f t="shared" si="111"/>
        <v>6.465741408864272E-3</v>
      </c>
      <c r="S217" s="2"/>
      <c r="T217" s="7">
        <v>6784.86</v>
      </c>
      <c r="U217" s="2"/>
      <c r="V217" s="8">
        <f t="shared" si="112"/>
        <v>2.5242229957627895E-3</v>
      </c>
      <c r="W217" s="2"/>
      <c r="X217" s="7">
        <f t="shared" si="113"/>
        <v>12565.05</v>
      </c>
      <c r="Y217" s="2"/>
      <c r="Z217" s="8">
        <f t="shared" si="114"/>
        <v>1.8519247265234655</v>
      </c>
    </row>
    <row r="218" spans="1:26" s="24" customFormat="1" hidden="1" outlineLevel="2" x14ac:dyDescent="0.3">
      <c r="A218" s="27"/>
      <c r="B218" s="11" t="str">
        <f>CONCATENATE("          ", "6245", " - ", "PRINTING")</f>
        <v xml:space="preserve">          6245 - PRINTING</v>
      </c>
      <c r="C218" s="11"/>
      <c r="D218" s="7">
        <v>-851.82</v>
      </c>
      <c r="E218" s="2"/>
      <c r="F218" s="8">
        <f t="shared" si="107"/>
        <v>-3.4229803345114392E-4</v>
      </c>
      <c r="G218" s="2"/>
      <c r="H218" s="7">
        <v>1248</v>
      </c>
      <c r="I218" s="2"/>
      <c r="J218" s="8">
        <f t="shared" si="108"/>
        <v>5.6445245341769056E-4</v>
      </c>
      <c r="K218" s="2"/>
      <c r="L218" s="7">
        <f t="shared" si="109"/>
        <v>-2099.8200000000002</v>
      </c>
      <c r="M218" s="2"/>
      <c r="N218" s="8">
        <f t="shared" si="110"/>
        <v>-1.682548076923077</v>
      </c>
      <c r="O218" s="11"/>
      <c r="P218" s="7">
        <v>-600.17999999999995</v>
      </c>
      <c r="Q218" s="2"/>
      <c r="R218" s="8">
        <f t="shared" si="111"/>
        <v>-2.0054918491983469E-4</v>
      </c>
      <c r="S218" s="2"/>
      <c r="T218" s="7">
        <v>-295.5</v>
      </c>
      <c r="U218" s="2"/>
      <c r="V218" s="8">
        <f t="shared" si="112"/>
        <v>-1.0993710927681695E-4</v>
      </c>
      <c r="W218" s="2"/>
      <c r="X218" s="7">
        <f t="shared" si="113"/>
        <v>-304.67999999999995</v>
      </c>
      <c r="Y218" s="2"/>
      <c r="Z218" s="8">
        <f t="shared" si="114"/>
        <v>1.0310659898477155</v>
      </c>
    </row>
    <row r="219" spans="1:26" s="24" customFormat="1" hidden="1" outlineLevel="2" x14ac:dyDescent="0.3">
      <c r="A219" s="27"/>
      <c r="B219" s="11" t="str">
        <f>CONCATENATE("          ", "6247", " - ", "STORE SUPPLIES")</f>
        <v xml:space="preserve">          6247 - STORE SUPPLIES</v>
      </c>
      <c r="C219" s="11"/>
      <c r="D219" s="7">
        <v>6357.83</v>
      </c>
      <c r="E219" s="2"/>
      <c r="F219" s="8">
        <f t="shared" si="107"/>
        <v>2.5548504449492688E-3</v>
      </c>
      <c r="G219" s="2"/>
      <c r="H219" s="7">
        <v>1890.32</v>
      </c>
      <c r="I219" s="2"/>
      <c r="J219" s="8">
        <f t="shared" si="108"/>
        <v>8.5496455267991078E-4</v>
      </c>
      <c r="K219" s="2"/>
      <c r="L219" s="7">
        <f t="shared" si="109"/>
        <v>4467.51</v>
      </c>
      <c r="M219" s="2"/>
      <c r="N219" s="8">
        <f t="shared" si="110"/>
        <v>2.3633617588556435</v>
      </c>
      <c r="O219" s="11"/>
      <c r="P219" s="7">
        <v>12241.71</v>
      </c>
      <c r="Q219" s="2"/>
      <c r="R219" s="8">
        <f t="shared" si="111"/>
        <v>4.0905477732096863E-3</v>
      </c>
      <c r="S219" s="2"/>
      <c r="T219" s="7">
        <v>7291.91</v>
      </c>
      <c r="U219" s="2"/>
      <c r="V219" s="8">
        <f t="shared" si="112"/>
        <v>2.7128646582291519E-3</v>
      </c>
      <c r="W219" s="2"/>
      <c r="X219" s="7">
        <f t="shared" si="113"/>
        <v>4949.7999999999993</v>
      </c>
      <c r="Y219" s="2"/>
      <c r="Z219" s="8">
        <f t="shared" si="114"/>
        <v>0.67880706152434678</v>
      </c>
    </row>
    <row r="220" spans="1:26" s="24" customFormat="1" hidden="1" outlineLevel="2" x14ac:dyDescent="0.3">
      <c r="A220" s="27"/>
      <c r="B220" s="11" t="str">
        <f>CONCATENATE("          ", "6248", " - ", "UNIFORMS")</f>
        <v xml:space="preserve">          6248 - UNIFORMS</v>
      </c>
      <c r="C220" s="11"/>
      <c r="D220" s="7"/>
      <c r="E220" s="2"/>
      <c r="F220" s="8">
        <f t="shared" si="107"/>
        <v>0</v>
      </c>
      <c r="G220" s="2"/>
      <c r="H220" s="7">
        <v>3510.98</v>
      </c>
      <c r="I220" s="2"/>
      <c r="J220" s="8">
        <f t="shared" si="108"/>
        <v>1.5879657651445857E-3</v>
      </c>
      <c r="K220" s="2"/>
      <c r="L220" s="7">
        <f t="shared" si="109"/>
        <v>-3510.98</v>
      </c>
      <c r="M220" s="2"/>
      <c r="N220" s="8">
        <f t="shared" si="110"/>
        <v>-1</v>
      </c>
      <c r="O220" s="11"/>
      <c r="P220" s="7"/>
      <c r="Q220" s="2"/>
      <c r="R220" s="8">
        <f t="shared" si="111"/>
        <v>0</v>
      </c>
      <c r="S220" s="2"/>
      <c r="T220" s="7">
        <v>3510.98</v>
      </c>
      <c r="U220" s="2"/>
      <c r="V220" s="8">
        <f t="shared" si="112"/>
        <v>1.3062165547503175E-3</v>
      </c>
      <c r="W220" s="2"/>
      <c r="X220" s="7">
        <f t="shared" si="113"/>
        <v>-3510.98</v>
      </c>
      <c r="Y220" s="2"/>
      <c r="Z220" s="8">
        <f t="shared" si="114"/>
        <v>-1</v>
      </c>
    </row>
    <row r="221" spans="1:26" s="28" customFormat="1" outlineLevel="1" collapsed="1" x14ac:dyDescent="0.3">
      <c r="A221" s="29"/>
      <c r="B221" s="14" t="str">
        <f>CONCATENATE("     ","Telephone/Data Lines                              ")</f>
        <v xml:space="preserve">     Telephone/Data Lines                              </v>
      </c>
      <c r="C221" s="14"/>
      <c r="D221" s="1">
        <f>SUM(OSRRefD22_22x_0)</f>
        <v>3874.49</v>
      </c>
      <c r="E221" s="1"/>
      <c r="F221" s="5">
        <f t="shared" ref="F221:F223" si="115">IF(D$12=0,0,D221/D$12)</f>
        <v>1.5569372726939052E-3</v>
      </c>
      <c r="G221" s="1"/>
      <c r="H221" s="1">
        <f>SUM(OSRRefH22_22x_0)</f>
        <v>4790.92</v>
      </c>
      <c r="I221" s="1"/>
      <c r="J221" s="5">
        <f t="shared" ref="J221:J223" si="116">IF(H$12=0,0,H221/H$12)</f>
        <v>2.1668642212563155E-3</v>
      </c>
      <c r="K221" s="1"/>
      <c r="L221" s="1">
        <f t="shared" ref="L221:L223" si="117">+D221-H221</f>
        <v>-916.43000000000029</v>
      </c>
      <c r="M221" s="1"/>
      <c r="N221" s="5">
        <f t="shared" ref="N221:N223" si="118">IF(H221=0,0,L221/H221)</f>
        <v>-0.19128476367795752</v>
      </c>
      <c r="O221" s="14"/>
      <c r="P221" s="1">
        <f>SUM(OSRRefP22_22x_0)</f>
        <v>6617.33</v>
      </c>
      <c r="Q221" s="1"/>
      <c r="R221" s="5">
        <f t="shared" ref="R221:R223" si="119">IF(P$12=0,0,P221/P$12)</f>
        <v>2.2111702120123458E-3</v>
      </c>
      <c r="S221" s="1"/>
      <c r="T221" s="1">
        <f>SUM(OSRRefT22_22x_0)</f>
        <v>9849.0300000000007</v>
      </c>
      <c r="U221" s="1"/>
      <c r="V221" s="5">
        <f t="shared" ref="V221:V223" si="120">IF(T$12=0,0,T221/T$12)</f>
        <v>3.664209432760232E-3</v>
      </c>
      <c r="W221" s="1"/>
      <c r="X221" s="1">
        <f t="shared" ref="X221:X223" si="121">+P221-T221</f>
        <v>-3231.7000000000007</v>
      </c>
      <c r="Y221" s="1"/>
      <c r="Z221" s="5">
        <f t="shared" ref="Z221:Z223" si="122">IF(T221=0,0,X221/T221)</f>
        <v>-0.32812368324596436</v>
      </c>
    </row>
    <row r="222" spans="1:26" s="24" customFormat="1" hidden="1" outlineLevel="2" x14ac:dyDescent="0.3">
      <c r="A222" s="27"/>
      <c r="B222" s="11" t="str">
        <f>CONCATENATE("          ", "6303", " - ", "DATA PHONE LINES")</f>
        <v xml:space="preserve">          6303 - DATA PHONE LINES</v>
      </c>
      <c r="C222" s="11"/>
      <c r="D222" s="7"/>
      <c r="E222" s="2"/>
      <c r="F222" s="8">
        <f t="shared" si="115"/>
        <v>0</v>
      </c>
      <c r="G222" s="2"/>
      <c r="H222" s="7"/>
      <c r="I222" s="2"/>
      <c r="J222" s="8">
        <f t="shared" si="116"/>
        <v>0</v>
      </c>
      <c r="K222" s="2"/>
      <c r="L222" s="7">
        <f t="shared" si="117"/>
        <v>0</v>
      </c>
      <c r="M222" s="2"/>
      <c r="N222" s="8">
        <f t="shared" si="118"/>
        <v>0</v>
      </c>
      <c r="O222" s="11"/>
      <c r="P222" s="7">
        <v>295</v>
      </c>
      <c r="Q222" s="2"/>
      <c r="R222" s="8">
        <f t="shared" si="119"/>
        <v>9.8573777119116324E-5</v>
      </c>
      <c r="S222" s="2"/>
      <c r="T222" s="7">
        <v>295</v>
      </c>
      <c r="U222" s="2"/>
      <c r="V222" s="8">
        <f t="shared" si="120"/>
        <v>1.0975109047939425E-4</v>
      </c>
      <c r="W222" s="2"/>
      <c r="X222" s="7">
        <f t="shared" si="121"/>
        <v>0</v>
      </c>
      <c r="Y222" s="2"/>
      <c r="Z222" s="8">
        <f t="shared" si="122"/>
        <v>0</v>
      </c>
    </row>
    <row r="223" spans="1:26" s="24" customFormat="1" hidden="1" outlineLevel="2" x14ac:dyDescent="0.3">
      <c r="A223" s="27"/>
      <c r="B223" s="11" t="str">
        <f>CONCATENATE("          ", "6309", " - ", "TELEPHONE")</f>
        <v xml:space="preserve">          6309 - TELEPHONE</v>
      </c>
      <c r="C223" s="11"/>
      <c r="D223" s="7">
        <v>3874.49</v>
      </c>
      <c r="E223" s="2"/>
      <c r="F223" s="8">
        <f t="shared" si="115"/>
        <v>1.5569372726939052E-3</v>
      </c>
      <c r="G223" s="2"/>
      <c r="H223" s="7">
        <v>4790.92</v>
      </c>
      <c r="I223" s="2"/>
      <c r="J223" s="8">
        <f t="shared" si="116"/>
        <v>2.1668642212563155E-3</v>
      </c>
      <c r="K223" s="2"/>
      <c r="L223" s="7">
        <f t="shared" si="117"/>
        <v>-916.43000000000029</v>
      </c>
      <c r="M223" s="2"/>
      <c r="N223" s="8">
        <f t="shared" si="118"/>
        <v>-0.19128476367795752</v>
      </c>
      <c r="O223" s="11"/>
      <c r="P223" s="7">
        <v>6322.33</v>
      </c>
      <c r="Q223" s="2"/>
      <c r="R223" s="8">
        <f t="shared" si="119"/>
        <v>2.1125964348932295E-3</v>
      </c>
      <c r="S223" s="2"/>
      <c r="T223" s="7">
        <v>9554.0300000000007</v>
      </c>
      <c r="U223" s="2"/>
      <c r="V223" s="8">
        <f t="shared" si="120"/>
        <v>3.5544583422808377E-3</v>
      </c>
      <c r="W223" s="2"/>
      <c r="X223" s="7">
        <f t="shared" si="121"/>
        <v>-3231.7000000000007</v>
      </c>
      <c r="Y223" s="2"/>
      <c r="Z223" s="8">
        <f t="shared" si="122"/>
        <v>-0.33825516562120911</v>
      </c>
    </row>
    <row r="224" spans="1:26" s="28" customFormat="1" outlineLevel="1" collapsed="1" x14ac:dyDescent="0.3">
      <c r="A224" s="29"/>
      <c r="B224" s="14" t="str">
        <f>CONCATENATE("     ","Training                                          ")</f>
        <v xml:space="preserve">     Training                                          </v>
      </c>
      <c r="C224" s="14"/>
      <c r="D224" s="1">
        <f>SUM(OSRRefD22_23x_0)</f>
        <v>0</v>
      </c>
      <c r="E224" s="1"/>
      <c r="F224" s="5">
        <f t="shared" ref="F224:F229" si="123">IF(D$12=0,0,D224/D$12)</f>
        <v>0</v>
      </c>
      <c r="G224" s="1"/>
      <c r="H224" s="1">
        <f>SUM(OSRRefH22_23x_0)</f>
        <v>350</v>
      </c>
      <c r="I224" s="1"/>
      <c r="J224" s="5">
        <f t="shared" ref="J224:J229" si="124">IF(H$12=0,0,H224/H$12)</f>
        <v>1.5829996690399975E-4</v>
      </c>
      <c r="K224" s="1"/>
      <c r="L224" s="1">
        <f t="shared" ref="L224:L229" si="125">+D224-H224</f>
        <v>-350</v>
      </c>
      <c r="M224" s="1"/>
      <c r="N224" s="5">
        <f t="shared" ref="N224:N229" si="126">IF(H224=0,0,L224/H224)</f>
        <v>-1</v>
      </c>
      <c r="O224" s="14"/>
      <c r="P224" s="1">
        <f>SUM(OSRRefP22_23x_0)</f>
        <v>0</v>
      </c>
      <c r="Q224" s="1"/>
      <c r="R224" s="5">
        <f t="shared" ref="R224:R229" si="127">IF(P$12=0,0,P224/P$12)</f>
        <v>0</v>
      </c>
      <c r="S224" s="1"/>
      <c r="T224" s="1">
        <f>SUM(OSRRefT22_23x_0)</f>
        <v>481.63</v>
      </c>
      <c r="U224" s="1"/>
      <c r="V224" s="5">
        <f t="shared" ref="V224:V229" si="128">IF(T$12=0,0,T224/T$12)</f>
        <v>1.7918446680539204E-4</v>
      </c>
      <c r="W224" s="1"/>
      <c r="X224" s="1">
        <f t="shared" ref="X224:X229" si="129">+P224-T224</f>
        <v>-481.63</v>
      </c>
      <c r="Y224" s="1"/>
      <c r="Z224" s="5">
        <f t="shared" ref="Z224:Z229" si="130">IF(T224=0,0,X224/T224)</f>
        <v>-1</v>
      </c>
    </row>
    <row r="225" spans="1:26" s="24" customFormat="1" hidden="1" outlineLevel="2" x14ac:dyDescent="0.3">
      <c r="A225" s="27"/>
      <c r="B225" s="11" t="str">
        <f>CONCATENATE("          ", "6376", " - ", "TRAINING")</f>
        <v xml:space="preserve">          6376 - TRAINING</v>
      </c>
      <c r="C225" s="11"/>
      <c r="D225" s="7"/>
      <c r="E225" s="2"/>
      <c r="F225" s="8">
        <f t="shared" si="123"/>
        <v>0</v>
      </c>
      <c r="G225" s="2"/>
      <c r="H225" s="7">
        <v>350</v>
      </c>
      <c r="I225" s="2"/>
      <c r="J225" s="8">
        <f t="shared" si="124"/>
        <v>1.5829996690399975E-4</v>
      </c>
      <c r="K225" s="2"/>
      <c r="L225" s="7">
        <f t="shared" si="125"/>
        <v>-350</v>
      </c>
      <c r="M225" s="2"/>
      <c r="N225" s="8">
        <f t="shared" si="126"/>
        <v>-1</v>
      </c>
      <c r="O225" s="11"/>
      <c r="P225" s="7"/>
      <c r="Q225" s="2"/>
      <c r="R225" s="8">
        <f t="shared" si="127"/>
        <v>0</v>
      </c>
      <c r="S225" s="2"/>
      <c r="T225" s="7">
        <v>481.63</v>
      </c>
      <c r="U225" s="2"/>
      <c r="V225" s="8">
        <f t="shared" si="128"/>
        <v>1.7918446680539204E-4</v>
      </c>
      <c r="W225" s="2"/>
      <c r="X225" s="7">
        <f t="shared" si="129"/>
        <v>-481.63</v>
      </c>
      <c r="Y225" s="2"/>
      <c r="Z225" s="8">
        <f t="shared" si="130"/>
        <v>-1</v>
      </c>
    </row>
    <row r="226" spans="1:26" s="28" customFormat="1" outlineLevel="1" collapsed="1" x14ac:dyDescent="0.3">
      <c r="A226" s="29"/>
      <c r="B226" s="14" t="str">
        <f>CONCATENATE("     ","Travel                                            ")</f>
        <v xml:space="preserve">     Travel                                            </v>
      </c>
      <c r="C226" s="14"/>
      <c r="D226" s="1">
        <f>SUM(OSRRefD22_24x_0)</f>
        <v>595</v>
      </c>
      <c r="E226" s="1"/>
      <c r="F226" s="5">
        <f t="shared" si="123"/>
        <v>2.3909667524057971E-4</v>
      </c>
      <c r="G226" s="1"/>
      <c r="H226" s="1">
        <f>SUM(OSRRefH22_24x_0)</f>
        <v>25.76</v>
      </c>
      <c r="I226" s="1"/>
      <c r="J226" s="5">
        <f t="shared" si="124"/>
        <v>1.1650877564134381E-5</v>
      </c>
      <c r="K226" s="1"/>
      <c r="L226" s="1">
        <f t="shared" si="125"/>
        <v>569.24</v>
      </c>
      <c r="M226" s="1"/>
      <c r="N226" s="5">
        <f t="shared" si="126"/>
        <v>22.09782608695652</v>
      </c>
      <c r="O226" s="14"/>
      <c r="P226" s="1">
        <f>SUM(OSRRefP22_24x_0)</f>
        <v>1278.1399999999999</v>
      </c>
      <c r="Q226" s="1"/>
      <c r="R226" s="5">
        <f t="shared" si="127"/>
        <v>4.270884321594147E-4</v>
      </c>
      <c r="S226" s="1"/>
      <c r="T226" s="1">
        <f>SUM(OSRRefT22_24x_0)</f>
        <v>480.65999999999997</v>
      </c>
      <c r="U226" s="1"/>
      <c r="V226" s="5">
        <f t="shared" si="128"/>
        <v>1.7882359033839199E-4</v>
      </c>
      <c r="W226" s="1"/>
      <c r="X226" s="1">
        <f t="shared" si="129"/>
        <v>797.4799999999999</v>
      </c>
      <c r="Y226" s="1"/>
      <c r="Z226" s="5">
        <f t="shared" si="130"/>
        <v>1.6591353555527815</v>
      </c>
    </row>
    <row r="227" spans="1:26" s="24" customFormat="1" hidden="1" outlineLevel="2" x14ac:dyDescent="0.3">
      <c r="A227" s="27"/>
      <c r="B227" s="11" t="str">
        <f>CONCATENATE("          ", "6292", " - ", "TRAVEL/CONFERENCE")</f>
        <v xml:space="preserve">          6292 - TRAVEL/CONFERENCE</v>
      </c>
      <c r="C227" s="11"/>
      <c r="D227" s="7">
        <v>595</v>
      </c>
      <c r="E227" s="2"/>
      <c r="F227" s="8">
        <f t="shared" si="123"/>
        <v>2.3909667524057971E-4</v>
      </c>
      <c r="G227" s="2"/>
      <c r="H227" s="7"/>
      <c r="I227" s="2"/>
      <c r="J227" s="8">
        <f t="shared" si="124"/>
        <v>0</v>
      </c>
      <c r="K227" s="2"/>
      <c r="L227" s="7">
        <f t="shared" si="125"/>
        <v>595</v>
      </c>
      <c r="M227" s="2"/>
      <c r="N227" s="8">
        <f t="shared" si="126"/>
        <v>0</v>
      </c>
      <c r="O227" s="11"/>
      <c r="P227" s="7">
        <v>1090</v>
      </c>
      <c r="Q227" s="2"/>
      <c r="R227" s="8">
        <f t="shared" si="127"/>
        <v>3.642217527452095E-4</v>
      </c>
      <c r="S227" s="2"/>
      <c r="T227" s="7">
        <v>0.16</v>
      </c>
      <c r="U227" s="2"/>
      <c r="V227" s="8">
        <f t="shared" si="128"/>
        <v>5.9526015175264684E-8</v>
      </c>
      <c r="W227" s="2"/>
      <c r="X227" s="7">
        <f t="shared" si="129"/>
        <v>1089.8399999999999</v>
      </c>
      <c r="Y227" s="2"/>
      <c r="Z227" s="8">
        <f t="shared" si="130"/>
        <v>6811.4999999999991</v>
      </c>
    </row>
    <row r="228" spans="1:26" s="24" customFormat="1" hidden="1" outlineLevel="2" x14ac:dyDescent="0.3">
      <c r="A228" s="27"/>
      <c r="B228" s="11" t="str">
        <f>CONCATENATE("          ", "6294", " - ", "TRAVEL OPERATIONAL")</f>
        <v xml:space="preserve">          6294 - TRAVEL OPERATIONAL</v>
      </c>
      <c r="C228" s="11"/>
      <c r="D228" s="7"/>
      <c r="E228" s="2"/>
      <c r="F228" s="8">
        <f t="shared" si="123"/>
        <v>0</v>
      </c>
      <c r="G228" s="2"/>
      <c r="H228" s="7">
        <v>25.76</v>
      </c>
      <c r="I228" s="2"/>
      <c r="J228" s="8">
        <f t="shared" si="124"/>
        <v>1.1650877564134381E-5</v>
      </c>
      <c r="K228" s="2"/>
      <c r="L228" s="7">
        <f t="shared" si="125"/>
        <v>-25.76</v>
      </c>
      <c r="M228" s="2"/>
      <c r="N228" s="8">
        <f t="shared" si="126"/>
        <v>-1</v>
      </c>
      <c r="O228" s="11"/>
      <c r="P228" s="7">
        <v>188.14</v>
      </c>
      <c r="Q228" s="2"/>
      <c r="R228" s="8">
        <f t="shared" si="127"/>
        <v>6.2866679414205239E-5</v>
      </c>
      <c r="S228" s="2"/>
      <c r="T228" s="7">
        <v>240.92</v>
      </c>
      <c r="U228" s="2"/>
      <c r="V228" s="8">
        <f t="shared" si="128"/>
        <v>8.9631297350154789E-5</v>
      </c>
      <c r="W228" s="2"/>
      <c r="X228" s="7">
        <f t="shared" si="129"/>
        <v>-52.78</v>
      </c>
      <c r="Y228" s="2"/>
      <c r="Z228" s="8">
        <f t="shared" si="130"/>
        <v>-0.21907687199070233</v>
      </c>
    </row>
    <row r="229" spans="1:26" s="24" customFormat="1" hidden="1" outlineLevel="2" x14ac:dyDescent="0.3">
      <c r="A229" s="27"/>
      <c r="B229" s="11" t="str">
        <f>CONCATENATE("          ", "6298", " - ", "VEHICLE MILEAGE")</f>
        <v xml:space="preserve">          6298 - VEHICLE MILEAGE</v>
      </c>
      <c r="C229" s="11"/>
      <c r="D229" s="7"/>
      <c r="E229" s="2"/>
      <c r="F229" s="8">
        <f t="shared" si="123"/>
        <v>0</v>
      </c>
      <c r="G229" s="2"/>
      <c r="H229" s="7"/>
      <c r="I229" s="2"/>
      <c r="J229" s="8">
        <f t="shared" si="124"/>
        <v>0</v>
      </c>
      <c r="K229" s="2"/>
      <c r="L229" s="7">
        <f t="shared" si="125"/>
        <v>0</v>
      </c>
      <c r="M229" s="2"/>
      <c r="N229" s="8">
        <f t="shared" si="126"/>
        <v>0</v>
      </c>
      <c r="O229" s="11"/>
      <c r="P229" s="7"/>
      <c r="Q229" s="2"/>
      <c r="R229" s="8">
        <f t="shared" si="127"/>
        <v>0</v>
      </c>
      <c r="S229" s="2"/>
      <c r="T229" s="7">
        <v>239.58</v>
      </c>
      <c r="U229" s="2"/>
      <c r="V229" s="8">
        <f t="shared" si="128"/>
        <v>8.9132766973061951E-5</v>
      </c>
      <c r="W229" s="2"/>
      <c r="X229" s="7">
        <f t="shared" si="129"/>
        <v>-239.58</v>
      </c>
      <c r="Y229" s="2"/>
      <c r="Z229" s="8">
        <f t="shared" si="130"/>
        <v>-1</v>
      </c>
    </row>
    <row r="230" spans="1:26" s="28" customFormat="1" outlineLevel="1" collapsed="1" x14ac:dyDescent="0.3">
      <c r="A230" s="29"/>
      <c r="B230" s="14" t="str">
        <f>CONCATENATE("     ","Utilities                                         ")</f>
        <v xml:space="preserve">     Utilities                                         </v>
      </c>
      <c r="C230" s="14"/>
      <c r="D230" s="1">
        <f>SUM(OSRRefD22_25x_0)</f>
        <v>14287.29</v>
      </c>
      <c r="E230" s="1"/>
      <c r="F230" s="5">
        <f t="shared" ref="F230:F231" si="131">IF(D$12=0,0,D230/D$12)</f>
        <v>5.7412496423495498E-3</v>
      </c>
      <c r="G230" s="1"/>
      <c r="H230" s="1">
        <f>SUM(OSRRefH22_25x_0)</f>
        <v>8509.91</v>
      </c>
      <c r="I230" s="1"/>
      <c r="J230" s="5">
        <f t="shared" ref="J230:J231" si="132">IF(H$12=0,0,H230/H$12)</f>
        <v>3.8489099181600469E-3</v>
      </c>
      <c r="K230" s="1"/>
      <c r="L230" s="1">
        <f t="shared" ref="L230:L231" si="133">+D230-H230</f>
        <v>5777.380000000001</v>
      </c>
      <c r="M230" s="1"/>
      <c r="N230" s="5">
        <f t="shared" ref="N230:N231" si="134">IF(H230=0,0,L230/H230)</f>
        <v>0.6789002468886276</v>
      </c>
      <c r="O230" s="14"/>
      <c r="P230" s="1">
        <f>SUM(OSRRefP22_25x_0)</f>
        <v>28573.78</v>
      </c>
      <c r="Q230" s="1"/>
      <c r="R230" s="5">
        <f t="shared" ref="R230:R231" si="135">IF(P$12=0,0,P230/P$12)</f>
        <v>9.5478827836293686E-3</v>
      </c>
      <c r="S230" s="1"/>
      <c r="T230" s="1">
        <f>SUM(OSRRefT22_25x_0)</f>
        <v>17021.37</v>
      </c>
      <c r="U230" s="1"/>
      <c r="V230" s="5">
        <f t="shared" ref="V230:V231" si="136">IF(T$12=0,0,T230/T$12)</f>
        <v>6.3325895557737183E-3</v>
      </c>
      <c r="W230" s="1"/>
      <c r="X230" s="1">
        <f t="shared" ref="X230:X231" si="137">+P230-T230</f>
        <v>11552.41</v>
      </c>
      <c r="Y230" s="1"/>
      <c r="Z230" s="5">
        <f t="shared" ref="Z230:Z231" si="138">IF(T230=0,0,X230/T230)</f>
        <v>0.6787003631317573</v>
      </c>
    </row>
    <row r="231" spans="1:26" s="24" customFormat="1" hidden="1" outlineLevel="2" x14ac:dyDescent="0.3">
      <c r="A231" s="27"/>
      <c r="B231" s="11" t="str">
        <f>CONCATENATE("          ", "6274", " - ", "UTILITIES")</f>
        <v xml:space="preserve">          6274 - UTILITIES</v>
      </c>
      <c r="C231" s="11"/>
      <c r="D231" s="7">
        <v>14287.29</v>
      </c>
      <c r="E231" s="2"/>
      <c r="F231" s="8">
        <f t="shared" si="131"/>
        <v>5.7412496423495498E-3</v>
      </c>
      <c r="G231" s="2"/>
      <c r="H231" s="7">
        <v>8509.91</v>
      </c>
      <c r="I231" s="2"/>
      <c r="J231" s="8">
        <f t="shared" si="132"/>
        <v>3.8489099181600469E-3</v>
      </c>
      <c r="K231" s="2"/>
      <c r="L231" s="7">
        <f t="shared" si="133"/>
        <v>5777.380000000001</v>
      </c>
      <c r="M231" s="2"/>
      <c r="N231" s="8">
        <f t="shared" si="134"/>
        <v>0.6789002468886276</v>
      </c>
      <c r="O231" s="11"/>
      <c r="P231" s="7">
        <v>28573.78</v>
      </c>
      <c r="Q231" s="2"/>
      <c r="R231" s="8">
        <f t="shared" si="135"/>
        <v>9.5478827836293686E-3</v>
      </c>
      <c r="S231" s="2"/>
      <c r="T231" s="7">
        <v>17021.37</v>
      </c>
      <c r="U231" s="2"/>
      <c r="V231" s="8">
        <f t="shared" si="136"/>
        <v>6.3325895557737183E-3</v>
      </c>
      <c r="W231" s="2"/>
      <c r="X231" s="7">
        <f t="shared" si="137"/>
        <v>11552.41</v>
      </c>
      <c r="Y231" s="2"/>
      <c r="Z231" s="8">
        <f t="shared" si="138"/>
        <v>0.6787003631317573</v>
      </c>
    </row>
    <row r="232" spans="1:26" s="61" customFormat="1" x14ac:dyDescent="0.3">
      <c r="A232" s="37"/>
      <c r="B232" s="37"/>
      <c r="C232" s="37"/>
      <c r="D232" s="1"/>
      <c r="E232" s="1"/>
      <c r="F232" s="5"/>
      <c r="G232" s="1"/>
      <c r="H232" s="1"/>
      <c r="I232" s="1"/>
      <c r="J232" s="5"/>
      <c r="K232" s="1"/>
      <c r="L232" s="1"/>
      <c r="M232" s="1"/>
      <c r="N232" s="5"/>
      <c r="O232" s="37"/>
      <c r="P232" s="1"/>
      <c r="Q232" s="1"/>
      <c r="R232" s="5"/>
      <c r="S232" s="1"/>
      <c r="T232" s="1"/>
      <c r="U232" s="1"/>
      <c r="V232" s="5"/>
      <c r="W232" s="1"/>
      <c r="X232" s="1"/>
      <c r="Y232" s="1"/>
      <c r="Z232" s="5"/>
    </row>
    <row r="233" spans="1:26" s="23" customFormat="1" collapsed="1" x14ac:dyDescent="0.3">
      <c r="A233" s="10"/>
      <c r="B233" s="26" t="s">
        <v>292</v>
      </c>
      <c r="C233" s="10"/>
      <c r="D233" s="4">
        <f>SUM(OSRRefD25x_0)</f>
        <v>159547.54999999999</v>
      </c>
      <c r="E233" s="4"/>
      <c r="F233" s="12">
        <f t="shared" ref="F233:F241" si="139">IF(D$12=0,0,D233/D$12)</f>
        <v>6.4113090332403616E-2</v>
      </c>
      <c r="G233" s="4"/>
      <c r="H233" s="4">
        <f>SUM(OSRRefH25x_0)</f>
        <v>57792.15</v>
      </c>
      <c r="I233" s="4"/>
      <c r="J233" s="12">
        <f t="shared" ref="J233:J241" si="140">IF(H$12=0,0,H233/H$12)</f>
        <v>2.6138558378031397E-2</v>
      </c>
      <c r="K233" s="4"/>
      <c r="L233" s="4">
        <f t="shared" ref="L233:L241" si="141">+D233-H233</f>
        <v>101755.4</v>
      </c>
      <c r="M233" s="4"/>
      <c r="N233" s="12">
        <f t="shared" ref="N233:N241" si="142">IF(H233=0,0,L233/H233)</f>
        <v>1.7607131764435133</v>
      </c>
      <c r="O233" s="10"/>
      <c r="P233" s="4">
        <f>SUM(OSRRefP25x_0)</f>
        <v>202145.36000000002</v>
      </c>
      <c r="Q233" s="4"/>
      <c r="R233" s="12">
        <f t="shared" ref="R233:R241" si="143">IF(P$12=0,0,P233/P$12)</f>
        <v>6.7546548007808585E-2</v>
      </c>
      <c r="S233" s="4"/>
      <c r="T233" s="4">
        <f>SUM(OSRRefT25x_0)</f>
        <v>257530.88</v>
      </c>
      <c r="U233" s="4"/>
      <c r="V233" s="12">
        <f t="shared" ref="V233:V241" si="144">IF(T$12=0,0,T233/T$12)</f>
        <v>9.5811169193620427E-2</v>
      </c>
      <c r="W233" s="4"/>
      <c r="X233" s="4">
        <f t="shared" ref="X233:X241" si="145">+P233-T233</f>
        <v>-55385.51999999999</v>
      </c>
      <c r="Y233" s="4"/>
      <c r="Z233" s="12">
        <f t="shared" ref="Z233:Z241" si="146">IF(T233=0,0,X233/T233)</f>
        <v>-0.21506360712936634</v>
      </c>
    </row>
    <row r="234" spans="1:26" s="24" customFormat="1" hidden="1" outlineLevel="1" x14ac:dyDescent="0.3">
      <c r="A234" s="44"/>
      <c r="B234" s="11" t="str">
        <f>CONCATENATE("          ", "4187", " - ", "NON-TAXABLE SALES-COMPUTER REP")</f>
        <v xml:space="preserve">          4187 - NON-TAXABLE SALES-COMPUTER REP</v>
      </c>
      <c r="C234" s="11"/>
      <c r="D234" s="2">
        <f>0</f>
        <v>0</v>
      </c>
      <c r="E234" s="2"/>
      <c r="F234" s="19">
        <f t="shared" si="139"/>
        <v>0</v>
      </c>
      <c r="G234" s="2"/>
      <c r="H234" s="2">
        <f t="shared" ref="H234:H235" si="147">0</f>
        <v>0</v>
      </c>
      <c r="I234" s="2"/>
      <c r="J234" s="19">
        <f t="shared" si="140"/>
        <v>0</v>
      </c>
      <c r="K234" s="2"/>
      <c r="L234" s="2">
        <f t="shared" si="141"/>
        <v>0</v>
      </c>
      <c r="M234" s="2"/>
      <c r="N234" s="19">
        <f t="shared" si="142"/>
        <v>0</v>
      </c>
      <c r="O234" s="11"/>
      <c r="P234" s="2">
        <f>0</f>
        <v>0</v>
      </c>
      <c r="Q234" s="2"/>
      <c r="R234" s="19">
        <f t="shared" si="143"/>
        <v>0</v>
      </c>
      <c r="S234" s="2"/>
      <c r="T234" s="2">
        <f>--19.99</f>
        <v>19.989999999999998</v>
      </c>
      <c r="U234" s="2"/>
      <c r="V234" s="19">
        <f t="shared" si="144"/>
        <v>7.4370315209596308E-6</v>
      </c>
      <c r="W234" s="2"/>
      <c r="X234" s="2">
        <f t="shared" si="145"/>
        <v>-19.989999999999998</v>
      </c>
      <c r="Y234" s="2"/>
      <c r="Z234" s="19">
        <f t="shared" si="146"/>
        <v>-1</v>
      </c>
    </row>
    <row r="235" spans="1:26" s="24" customFormat="1" hidden="1" outlineLevel="1" x14ac:dyDescent="0.3">
      <c r="A235" s="44"/>
      <c r="B235" s="11" t="str">
        <f>CONCATENATE("          ", "9087", " - ", "")</f>
        <v xml:space="preserve">          9087 - </v>
      </c>
      <c r="C235" s="11"/>
      <c r="D235" s="2">
        <f>--946.54</f>
        <v>946.54</v>
      </c>
      <c r="E235" s="2"/>
      <c r="F235" s="19">
        <f t="shared" si="139"/>
        <v>3.803606167768375E-4</v>
      </c>
      <c r="G235" s="2"/>
      <c r="H235" s="2">
        <f t="shared" si="147"/>
        <v>0</v>
      </c>
      <c r="I235" s="2"/>
      <c r="J235" s="19">
        <f t="shared" si="140"/>
        <v>0</v>
      </c>
      <c r="K235" s="2"/>
      <c r="L235" s="2">
        <f t="shared" si="141"/>
        <v>946.54</v>
      </c>
      <c r="M235" s="2"/>
      <c r="N235" s="19">
        <f t="shared" si="142"/>
        <v>0</v>
      </c>
      <c r="O235" s="11"/>
      <c r="P235" s="2">
        <f>--1020.01</f>
        <v>1020.01</v>
      </c>
      <c r="Q235" s="2"/>
      <c r="R235" s="19">
        <f t="shared" si="143"/>
        <v>3.4083470643820284E-4</v>
      </c>
      <c r="S235" s="2"/>
      <c r="T235" s="2">
        <f>0</f>
        <v>0</v>
      </c>
      <c r="U235" s="2"/>
      <c r="V235" s="19">
        <f t="shared" si="144"/>
        <v>0</v>
      </c>
      <c r="W235" s="2"/>
      <c r="X235" s="2">
        <f t="shared" si="145"/>
        <v>1020.01</v>
      </c>
      <c r="Y235" s="2"/>
      <c r="Z235" s="19">
        <f t="shared" si="146"/>
        <v>0</v>
      </c>
    </row>
    <row r="236" spans="1:26" s="24" customFormat="1" hidden="1" outlineLevel="1" x14ac:dyDescent="0.3">
      <c r="A236" s="44"/>
      <c r="B236" s="11" t="str">
        <f>CONCATENATE("          ", "9150", " - ", "MISC. INCOME")</f>
        <v xml:space="preserve">          9150 - MISC. INCOME</v>
      </c>
      <c r="C236" s="11"/>
      <c r="D236" s="2">
        <f>--78612.03</f>
        <v>78612.03</v>
      </c>
      <c r="E236" s="2"/>
      <c r="F236" s="19">
        <f t="shared" si="139"/>
        <v>3.1589705893970942E-2</v>
      </c>
      <c r="G236" s="2"/>
      <c r="H236" s="2">
        <f>--57093.72</f>
        <v>57093.72</v>
      </c>
      <c r="I236" s="2"/>
      <c r="J236" s="19">
        <f t="shared" si="140"/>
        <v>2.5822668532646368E-2</v>
      </c>
      <c r="K236" s="2"/>
      <c r="L236" s="2">
        <f t="shared" si="141"/>
        <v>21518.309999999998</v>
      </c>
      <c r="M236" s="2"/>
      <c r="N236" s="19">
        <f t="shared" si="142"/>
        <v>0.37689451659481982</v>
      </c>
      <c r="O236" s="11"/>
      <c r="P236" s="2">
        <f>--113502.39</f>
        <v>113502.39</v>
      </c>
      <c r="Q236" s="2"/>
      <c r="R236" s="19">
        <f t="shared" si="143"/>
        <v>3.7926641675752604E-2</v>
      </c>
      <c r="S236" s="2"/>
      <c r="T236" s="2">
        <f>--93110.04</f>
        <v>93110.04</v>
      </c>
      <c r="U236" s="2"/>
      <c r="V236" s="19">
        <f t="shared" si="144"/>
        <v>3.464043533755938E-2</v>
      </c>
      <c r="W236" s="2"/>
      <c r="X236" s="2">
        <f t="shared" si="145"/>
        <v>20392.350000000006</v>
      </c>
      <c r="Y236" s="2"/>
      <c r="Z236" s="19">
        <f t="shared" si="146"/>
        <v>0.21901343829301337</v>
      </c>
    </row>
    <row r="237" spans="1:26" s="24" customFormat="1" hidden="1" outlineLevel="1" x14ac:dyDescent="0.3">
      <c r="A237" s="44"/>
      <c r="B237" s="11" t="str">
        <f>CONCATENATE("          ", "9151", " - ", "MISC. INCOME")</f>
        <v xml:space="preserve">          9151 - MISC. INCOME</v>
      </c>
      <c r="C237" s="11"/>
      <c r="D237" s="2">
        <f>--11556.36</f>
        <v>11556.36</v>
      </c>
      <c r="E237" s="2"/>
      <c r="F237" s="19">
        <f t="shared" si="139"/>
        <v>4.6438441241734886E-3</v>
      </c>
      <c r="G237" s="2"/>
      <c r="H237" s="2">
        <f>0</f>
        <v>0</v>
      </c>
      <c r="I237" s="2"/>
      <c r="J237" s="19">
        <f t="shared" si="140"/>
        <v>0</v>
      </c>
      <c r="K237" s="2"/>
      <c r="L237" s="2">
        <f t="shared" si="141"/>
        <v>11556.36</v>
      </c>
      <c r="M237" s="2"/>
      <c r="N237" s="19">
        <f t="shared" si="142"/>
        <v>0</v>
      </c>
      <c r="O237" s="11"/>
      <c r="P237" s="2">
        <f>--11556.36</f>
        <v>11556.36</v>
      </c>
      <c r="Q237" s="2"/>
      <c r="R237" s="19">
        <f t="shared" si="143"/>
        <v>3.8615391693161737E-3</v>
      </c>
      <c r="S237" s="2"/>
      <c r="T237" s="2">
        <f>0</f>
        <v>0</v>
      </c>
      <c r="U237" s="2"/>
      <c r="V237" s="19">
        <f t="shared" si="144"/>
        <v>0</v>
      </c>
      <c r="W237" s="2"/>
      <c r="X237" s="2">
        <f t="shared" si="145"/>
        <v>11556.36</v>
      </c>
      <c r="Y237" s="2"/>
      <c r="Z237" s="19">
        <f t="shared" si="146"/>
        <v>0</v>
      </c>
    </row>
    <row r="238" spans="1:26" s="24" customFormat="1" hidden="1" outlineLevel="1" x14ac:dyDescent="0.3">
      <c r="A238" s="44"/>
      <c r="B238" s="11" t="str">
        <f>CONCATENATE("          ", "9152", " - ", "MISC. INCOME")</f>
        <v xml:space="preserve">          9152 - MISC. INCOME</v>
      </c>
      <c r="C238" s="11"/>
      <c r="D238" s="2">
        <f>--936.11</f>
        <v>936.11</v>
      </c>
      <c r="E238" s="2"/>
      <c r="F238" s="19">
        <f t="shared" si="139"/>
        <v>3.7616939270497323E-4</v>
      </c>
      <c r="G238" s="2"/>
      <c r="H238" s="2">
        <f>--72</f>
        <v>72</v>
      </c>
      <c r="I238" s="2"/>
      <c r="J238" s="19">
        <f t="shared" si="140"/>
        <v>3.2564564620251373E-5</v>
      </c>
      <c r="K238" s="2"/>
      <c r="L238" s="2">
        <f t="shared" si="141"/>
        <v>864.11</v>
      </c>
      <c r="M238" s="2"/>
      <c r="N238" s="19">
        <f t="shared" si="142"/>
        <v>12.001527777777778</v>
      </c>
      <c r="O238" s="11"/>
      <c r="P238" s="2">
        <f>--1003.03</f>
        <v>1003.03</v>
      </c>
      <c r="Q238" s="2"/>
      <c r="R238" s="19">
        <f t="shared" si="143"/>
        <v>3.3516086665690594E-4</v>
      </c>
      <c r="S238" s="2"/>
      <c r="T238" s="2">
        <f>--1546.39</f>
        <v>1546.39</v>
      </c>
      <c r="U238" s="2"/>
      <c r="V238" s="19">
        <f t="shared" si="144"/>
        <v>5.7531521629298468E-4</v>
      </c>
      <c r="W238" s="2"/>
      <c r="X238" s="2">
        <f t="shared" si="145"/>
        <v>-543.36000000000013</v>
      </c>
      <c r="Y238" s="2"/>
      <c r="Z238" s="19">
        <f t="shared" si="146"/>
        <v>-0.35137319822295804</v>
      </c>
    </row>
    <row r="239" spans="1:26" s="24" customFormat="1" hidden="1" outlineLevel="1" x14ac:dyDescent="0.3">
      <c r="A239" s="44"/>
      <c r="B239" s="11" t="str">
        <f>CONCATENATE("          ", "9160", " - ", "MISC. INCOME")</f>
        <v xml:space="preserve">          9160 - MISC. INCOME</v>
      </c>
      <c r="C239" s="11"/>
      <c r="D239" s="2">
        <f>--10000</f>
        <v>10000</v>
      </c>
      <c r="E239" s="2"/>
      <c r="F239" s="19">
        <f t="shared" si="139"/>
        <v>4.0184315166483988E-3</v>
      </c>
      <c r="G239" s="2"/>
      <c r="H239" s="2">
        <f>--626.43</f>
        <v>626.42999999999995</v>
      </c>
      <c r="I239" s="2"/>
      <c r="J239" s="19">
        <f t="shared" si="140"/>
        <v>2.8332528076477874E-4</v>
      </c>
      <c r="K239" s="2"/>
      <c r="L239" s="2">
        <f t="shared" si="141"/>
        <v>9373.57</v>
      </c>
      <c r="M239" s="2"/>
      <c r="N239" s="19">
        <f t="shared" si="142"/>
        <v>14.963475567900645</v>
      </c>
      <c r="O239" s="11"/>
      <c r="P239" s="2">
        <f>--11238.12</f>
        <v>11238.12</v>
      </c>
      <c r="Q239" s="2"/>
      <c r="R239" s="19">
        <f t="shared" si="143"/>
        <v>3.7551997834504532E-3</v>
      </c>
      <c r="S239" s="2"/>
      <c r="T239" s="2">
        <f>--1990.06</f>
        <v>1990.06</v>
      </c>
      <c r="U239" s="2"/>
      <c r="V239" s="19">
        <f t="shared" si="144"/>
        <v>7.4037713599804514E-4</v>
      </c>
      <c r="W239" s="2"/>
      <c r="X239" s="2">
        <f t="shared" si="145"/>
        <v>9248.0600000000013</v>
      </c>
      <c r="Y239" s="2"/>
      <c r="Z239" s="19">
        <f t="shared" si="146"/>
        <v>4.6471262172999817</v>
      </c>
    </row>
    <row r="240" spans="1:26" s="24" customFormat="1" hidden="1" outlineLevel="1" x14ac:dyDescent="0.3">
      <c r="A240" s="44"/>
      <c r="B240" s="11" t="str">
        <f>CONCATENATE("          ", "9163", " - ", "MISC. INCOME")</f>
        <v xml:space="preserve">          9163 - MISC. INCOME</v>
      </c>
      <c r="C240" s="11"/>
      <c r="D240" s="2">
        <f>--56991</f>
        <v>56991</v>
      </c>
      <c r="E240" s="2"/>
      <c r="F240" s="19">
        <f t="shared" si="139"/>
        <v>2.2901443056530888E-2</v>
      </c>
      <c r="G240" s="2"/>
      <c r="H240" s="2">
        <f t="shared" ref="H240:H241" si="148">0</f>
        <v>0</v>
      </c>
      <c r="I240" s="2"/>
      <c r="J240" s="19">
        <f t="shared" si="140"/>
        <v>0</v>
      </c>
      <c r="K240" s="2"/>
      <c r="L240" s="2">
        <f t="shared" si="141"/>
        <v>56991</v>
      </c>
      <c r="M240" s="2"/>
      <c r="N240" s="19">
        <f t="shared" si="142"/>
        <v>0</v>
      </c>
      <c r="O240" s="11"/>
      <c r="P240" s="2">
        <f>--63319.94</f>
        <v>63319.94</v>
      </c>
      <c r="Q240" s="2"/>
      <c r="R240" s="19">
        <f t="shared" si="143"/>
        <v>2.1158256450019727E-2</v>
      </c>
      <c r="S240" s="2"/>
      <c r="T240" s="2">
        <f>--160663.9</f>
        <v>160663.9</v>
      </c>
      <c r="U240" s="2"/>
      <c r="V240" s="19">
        <f t="shared" si="144"/>
        <v>5.9773010934482541E-2</v>
      </c>
      <c r="W240" s="2"/>
      <c r="X240" s="2">
        <f t="shared" si="145"/>
        <v>-97343.959999999992</v>
      </c>
      <c r="Y240" s="2"/>
      <c r="Z240" s="19">
        <f t="shared" si="146"/>
        <v>-0.60588570301106837</v>
      </c>
    </row>
    <row r="241" spans="1:26" s="24" customFormat="1" hidden="1" outlineLevel="1" x14ac:dyDescent="0.3">
      <c r="A241" s="44"/>
      <c r="B241" s="11" t="str">
        <f>CONCATENATE("          ", "9165", " - ", "OTHER INCOME")</f>
        <v xml:space="preserve">          9165 - OTHER INCOME</v>
      </c>
      <c r="C241" s="11"/>
      <c r="D241" s="2">
        <f>--505.51</f>
        <v>505.51</v>
      </c>
      <c r="E241" s="2"/>
      <c r="F241" s="19">
        <f t="shared" si="139"/>
        <v>2.0313573159809318E-4</v>
      </c>
      <c r="G241" s="2"/>
      <c r="H241" s="2">
        <f t="shared" si="148"/>
        <v>0</v>
      </c>
      <c r="I241" s="2"/>
      <c r="J241" s="19">
        <f t="shared" si="140"/>
        <v>0</v>
      </c>
      <c r="K241" s="2"/>
      <c r="L241" s="2">
        <f t="shared" si="141"/>
        <v>505.51</v>
      </c>
      <c r="M241" s="2"/>
      <c r="N241" s="19">
        <f t="shared" si="142"/>
        <v>0</v>
      </c>
      <c r="O241" s="11"/>
      <c r="P241" s="2">
        <f>--505.51</f>
        <v>505.51</v>
      </c>
      <c r="Q241" s="2"/>
      <c r="R241" s="19">
        <f t="shared" si="143"/>
        <v>1.6891535617452372E-4</v>
      </c>
      <c r="S241" s="2"/>
      <c r="T241" s="2">
        <f>--200.5</f>
        <v>200.5</v>
      </c>
      <c r="U241" s="2"/>
      <c r="V241" s="19">
        <f t="shared" si="144"/>
        <v>7.4593537766503551E-5</v>
      </c>
      <c r="W241" s="2"/>
      <c r="X241" s="2">
        <f t="shared" si="145"/>
        <v>305.01</v>
      </c>
      <c r="Y241" s="2"/>
      <c r="Z241" s="19">
        <f t="shared" si="146"/>
        <v>1.5212468827930175</v>
      </c>
    </row>
    <row r="242" spans="1:26" x14ac:dyDescent="0.3">
      <c r="A242" s="9"/>
      <c r="B242" s="10"/>
      <c r="C242" s="10"/>
      <c r="D242" s="3"/>
      <c r="E242" s="3"/>
      <c r="F242" s="6"/>
      <c r="G242" s="3"/>
      <c r="H242" s="3"/>
      <c r="I242" s="3"/>
      <c r="J242" s="6"/>
      <c r="K242" s="3"/>
      <c r="L242" s="3"/>
      <c r="M242" s="3"/>
      <c r="N242" s="6"/>
      <c r="O242" s="10"/>
      <c r="P242" s="3"/>
      <c r="Q242" s="3"/>
      <c r="R242" s="6"/>
      <c r="S242" s="3"/>
      <c r="T242" s="3"/>
      <c r="U242" s="3"/>
      <c r="V242" s="6"/>
      <c r="W242" s="3"/>
      <c r="X242" s="3"/>
      <c r="Y242" s="3"/>
      <c r="Z242" s="6"/>
    </row>
    <row r="243" spans="1:26" s="23" customFormat="1" x14ac:dyDescent="0.3">
      <c r="A243" s="10"/>
      <c r="B243" s="25" t="s">
        <v>276</v>
      </c>
      <c r="C243" s="25"/>
      <c r="D243" s="20">
        <f>+D137-D139+D233</f>
        <v>249907.76999999938</v>
      </c>
      <c r="E243" s="13"/>
      <c r="F243" s="22">
        <f>IF(D$12=0,0,D243/D$12)</f>
        <v>0.10042372592233166</v>
      </c>
      <c r="G243" s="13"/>
      <c r="H243" s="20">
        <f>+H137-H139+H233</f>
        <v>51590.330000000053</v>
      </c>
      <c r="I243" s="13"/>
      <c r="J243" s="22">
        <f>IF(H$12=0,0,H243/H$12)</f>
        <v>2.3333564375904097E-2</v>
      </c>
      <c r="K243" s="15"/>
      <c r="L243" s="20">
        <f>+D243-H243</f>
        <v>198317.43999999933</v>
      </c>
      <c r="M243" s="15"/>
      <c r="N243" s="22">
        <f>IF(H243=0,0,L243/H243)</f>
        <v>3.8440816331277419</v>
      </c>
      <c r="O243" s="26"/>
      <c r="P243" s="20">
        <f>+P137-P139+P233</f>
        <v>-313815.30999999994</v>
      </c>
      <c r="Q243" s="13"/>
      <c r="R243" s="22">
        <f>IF(P$12=0,0,P243/P$12)</f>
        <v>-0.10486088279493692</v>
      </c>
      <c r="S243" s="13"/>
      <c r="T243" s="20">
        <f>+T137-T139+T233</f>
        <v>-308463.36000000045</v>
      </c>
      <c r="U243" s="13"/>
      <c r="V243" s="22">
        <f>IF(T$12=0,0,T243/T$12)</f>
        <v>-0.11475996655233224</v>
      </c>
      <c r="W243" s="15"/>
      <c r="X243" s="20">
        <f>+P243-T243</f>
        <v>-5351.9499999994878</v>
      </c>
      <c r="Y243" s="15"/>
      <c r="Z243" s="22">
        <f>IF(T243=0,0,X243/T243)</f>
        <v>1.7350358888652058E-2</v>
      </c>
    </row>
    <row r="244" spans="1:26" x14ac:dyDescent="0.3">
      <c r="A244" s="9"/>
      <c r="B244" s="10"/>
      <c r="C244" s="9"/>
      <c r="D244" s="3"/>
      <c r="E244" s="3"/>
      <c r="F244" s="6"/>
      <c r="G244" s="3"/>
      <c r="H244" s="3"/>
      <c r="I244" s="3"/>
      <c r="J244" s="6"/>
      <c r="K244" s="3"/>
      <c r="L244" s="3"/>
      <c r="M244" s="3"/>
      <c r="N244" s="6"/>
      <c r="P244" s="3"/>
      <c r="Q244" s="3"/>
      <c r="R244" s="6"/>
      <c r="S244" s="3"/>
      <c r="T244" s="3"/>
      <c r="U244" s="3"/>
      <c r="V244" s="6"/>
      <c r="W244" s="3"/>
      <c r="X244" s="3"/>
      <c r="Y244" s="3"/>
      <c r="Z244" s="6"/>
    </row>
    <row r="245" spans="1:26" s="23" customFormat="1" x14ac:dyDescent="0.3">
      <c r="A245" s="51"/>
      <c r="B245" s="10" t="s">
        <v>127</v>
      </c>
      <c r="C245" s="10"/>
      <c r="D245" s="4">
        <v>214290.75</v>
      </c>
      <c r="E245" s="4"/>
      <c r="F245" s="12">
        <f>IF(D$12=0,0,D245/D$12)</f>
        <v>8.6111270352622282E-2</v>
      </c>
      <c r="G245" s="4"/>
      <c r="H245" s="4">
        <v>219113.02</v>
      </c>
      <c r="I245" s="4"/>
      <c r="J245" s="12">
        <f>IF(H$12=0,0,H245/H$12)</f>
        <v>9.9101668040672664E-2</v>
      </c>
      <c r="K245" s="4"/>
      <c r="L245" s="4">
        <f>+D245-H245</f>
        <v>-4822.2699999999895</v>
      </c>
      <c r="M245" s="4"/>
      <c r="N245" s="12">
        <f>IF(H245=0,0,L245/H245)</f>
        <v>-2.2008139908801357E-2</v>
      </c>
      <c r="O245" s="10"/>
      <c r="P245" s="4">
        <v>447205.61</v>
      </c>
      <c r="Q245" s="4"/>
      <c r="R245" s="12">
        <f>IF(P$12=0,0,P245/P$12)</f>
        <v>0.14943303771714733</v>
      </c>
      <c r="S245" s="4"/>
      <c r="T245" s="4">
        <v>453816.26</v>
      </c>
      <c r="U245" s="4"/>
      <c r="V245" s="12">
        <f>IF(T$12=0,0,T245/T$12)</f>
        <v>0.16883670987213664</v>
      </c>
      <c r="W245" s="4"/>
      <c r="X245" s="4">
        <f>+P245-T245</f>
        <v>-6610.6500000000233</v>
      </c>
      <c r="Y245" s="4"/>
      <c r="Z245" s="12">
        <f>IF(T245=0,0,X245/T245)</f>
        <v>-1.4566798465969517E-2</v>
      </c>
    </row>
    <row r="246" spans="1:26" x14ac:dyDescent="0.3">
      <c r="A246" s="9"/>
      <c r="B246" s="10"/>
      <c r="C246" s="10"/>
      <c r="D246" s="3"/>
      <c r="E246" s="3"/>
      <c r="F246" s="6"/>
      <c r="G246" s="3"/>
      <c r="H246" s="3"/>
      <c r="I246" s="3"/>
      <c r="J246" s="6"/>
      <c r="K246" s="3"/>
      <c r="L246" s="3"/>
      <c r="M246" s="3"/>
      <c r="N246" s="6"/>
      <c r="O246" s="10"/>
      <c r="P246" s="3"/>
      <c r="Q246" s="3"/>
      <c r="R246" s="6"/>
      <c r="S246" s="3"/>
      <c r="T246" s="3"/>
      <c r="U246" s="3"/>
      <c r="V246" s="6"/>
      <c r="W246" s="3"/>
      <c r="X246" s="3"/>
      <c r="Y246" s="3"/>
      <c r="Z246" s="6"/>
    </row>
    <row r="247" spans="1:26" s="23" customFormat="1" ht="15" thickBot="1" x14ac:dyDescent="0.35">
      <c r="A247" s="10"/>
      <c r="B247" s="25" t="s">
        <v>125</v>
      </c>
      <c r="C247" s="25"/>
      <c r="D247" s="33">
        <f>+D243-D245</f>
        <v>35617.019999999378</v>
      </c>
      <c r="E247" s="13"/>
      <c r="F247" s="36">
        <f>IF(D$12=0,0,D247/D$12)</f>
        <v>1.4312455569709384E-2</v>
      </c>
      <c r="G247" s="13"/>
      <c r="H247" s="33">
        <f>+H243-H245</f>
        <v>-167522.68999999994</v>
      </c>
      <c r="I247" s="13"/>
      <c r="J247" s="36">
        <f>IF(H$12=0,0,H247/H$12)</f>
        <v>-7.5768103664768577E-2</v>
      </c>
      <c r="K247" s="15"/>
      <c r="L247" s="33">
        <f>D247-H247</f>
        <v>203139.70999999932</v>
      </c>
      <c r="M247" s="15"/>
      <c r="N247" s="36">
        <f>IF(H247=0,0,L247/H247)</f>
        <v>-1.2126101246344563</v>
      </c>
      <c r="O247" s="26"/>
      <c r="P247" s="33">
        <f>+P243-P245</f>
        <v>-761020.91999999993</v>
      </c>
      <c r="Q247" s="13"/>
      <c r="R247" s="36">
        <f>IF(P$12=0,0,P247/P$12)</f>
        <v>-0.25429392051208421</v>
      </c>
      <c r="S247" s="13"/>
      <c r="T247" s="33">
        <f>+T243-T245</f>
        <v>-762279.62000000046</v>
      </c>
      <c r="U247" s="13"/>
      <c r="V247" s="36">
        <f>IF(T$12=0,0,T247/T$12)</f>
        <v>-0.2835966764244689</v>
      </c>
      <c r="W247" s="15"/>
      <c r="X247" s="33">
        <f>P247-T247</f>
        <v>1258.7000000005355</v>
      </c>
      <c r="Y247" s="15"/>
      <c r="Z247" s="36">
        <f>IF(T247=0,0,X247/T247)</f>
        <v>-1.6512313421163415E-3</v>
      </c>
    </row>
    <row r="248" spans="1:26" ht="15" thickTop="1" x14ac:dyDescent="0.3">
      <c r="A248" s="9"/>
      <c r="B248" s="9"/>
      <c r="C248" s="9"/>
      <c r="D248" s="3"/>
      <c r="E248" s="3"/>
      <c r="F248" s="6"/>
      <c r="G248" s="3"/>
      <c r="H248" s="3"/>
      <c r="I248" s="3"/>
      <c r="J248" s="6"/>
      <c r="K248" s="3"/>
      <c r="L248" s="3"/>
      <c r="M248" s="3"/>
      <c r="N248" s="6"/>
      <c r="P248" s="3"/>
      <c r="Q248" s="3"/>
      <c r="R248" s="6"/>
      <c r="S248" s="3"/>
      <c r="T248" s="3"/>
      <c r="U248" s="3"/>
      <c r="V248" s="6"/>
      <c r="W248" s="3"/>
      <c r="X248" s="3"/>
      <c r="Y248" s="3"/>
      <c r="Z248" s="6"/>
    </row>
    <row r="249" spans="1:26" s="23" customFormat="1" x14ac:dyDescent="0.3">
      <c r="A249" s="51"/>
      <c r="B249" s="10" t="s">
        <v>183</v>
      </c>
      <c r="C249" s="10"/>
      <c r="D249" s="4">
        <f>--134736.5</f>
        <v>134736.5</v>
      </c>
      <c r="E249" s="4"/>
      <c r="F249" s="12">
        <f t="shared" ref="F249:F250" si="149">IF(D$12=0,0,D249/D$12)</f>
        <v>5.4142939804289691E-2</v>
      </c>
      <c r="G249" s="4"/>
      <c r="H249" s="4">
        <f>--487459.55</f>
        <v>487459.55</v>
      </c>
      <c r="I249" s="4"/>
      <c r="J249" s="12">
        <f t="shared" ref="J249:J250" si="150">IF(H$12=0,0,H249/H$12)</f>
        <v>0.22047094466296743</v>
      </c>
      <c r="K249" s="4"/>
      <c r="L249" s="4">
        <f t="shared" ref="L249:L250" si="151">+D249-H249</f>
        <v>-352723.05</v>
      </c>
      <c r="M249" s="4"/>
      <c r="N249" s="12">
        <f t="shared" ref="N249:N250" si="152">IF(H249=0,0,L249/H249)</f>
        <v>-0.72359450132836667</v>
      </c>
      <c r="O249" s="10"/>
      <c r="P249" s="4">
        <f>--152858.8</f>
        <v>152858.79999999999</v>
      </c>
      <c r="Q249" s="4"/>
      <c r="R249" s="12">
        <f t="shared" ref="R249:R250" si="153">IF(P$12=0,0,P249/P$12)</f>
        <v>5.1077522989476536E-2</v>
      </c>
      <c r="S249" s="4"/>
      <c r="T249" s="4">
        <f>--951342.71</f>
        <v>951342.71</v>
      </c>
      <c r="U249" s="4"/>
      <c r="V249" s="12">
        <f t="shared" ref="V249:V250" si="154">IF(T$12=0,0,T249/T$12)</f>
        <v>0.35393525370210888</v>
      </c>
      <c r="W249" s="4"/>
      <c r="X249" s="4">
        <f t="shared" ref="X249:X250" si="155">+P249-T249</f>
        <v>-798483.90999999992</v>
      </c>
      <c r="Y249" s="4"/>
      <c r="Z249" s="12">
        <f t="shared" ref="Z249:Z250" si="156">IF(T249=0,0,X249/T249)</f>
        <v>-0.83932309735153166</v>
      </c>
    </row>
    <row r="250" spans="1:26" s="23" customFormat="1" x14ac:dyDescent="0.3">
      <c r="A250" s="51"/>
      <c r="B250" s="10" t="s">
        <v>81</v>
      </c>
      <c r="C250" s="10"/>
      <c r="D250" s="4">
        <f>--12034.07</f>
        <v>12034.07</v>
      </c>
      <c r="E250" s="4"/>
      <c r="F250" s="12">
        <f t="shared" si="149"/>
        <v>4.8358086161552991E-3</v>
      </c>
      <c r="G250" s="4"/>
      <c r="H250" s="4">
        <f>--25064.99</f>
        <v>25064.99</v>
      </c>
      <c r="I250" s="4"/>
      <c r="J250" s="12">
        <f t="shared" si="150"/>
        <v>1.1336534535568814E-2</v>
      </c>
      <c r="K250" s="4"/>
      <c r="L250" s="4">
        <f t="shared" si="151"/>
        <v>-13030.920000000002</v>
      </c>
      <c r="M250" s="4"/>
      <c r="N250" s="12">
        <f t="shared" si="152"/>
        <v>-0.51988530615811146</v>
      </c>
      <c r="O250" s="10"/>
      <c r="P250" s="4">
        <f>--22216.49</f>
        <v>22216.49</v>
      </c>
      <c r="Q250" s="4"/>
      <c r="R250" s="12">
        <f t="shared" si="153"/>
        <v>7.4236045207765316E-3</v>
      </c>
      <c r="S250" s="4"/>
      <c r="T250" s="4">
        <f>-56563.28</f>
        <v>-56563.28</v>
      </c>
      <c r="U250" s="4"/>
      <c r="V250" s="12">
        <f t="shared" si="154"/>
        <v>-2.1043666647767158E-2</v>
      </c>
      <c r="W250" s="4"/>
      <c r="X250" s="4">
        <f t="shared" si="155"/>
        <v>78779.77</v>
      </c>
      <c r="Y250" s="4"/>
      <c r="Z250" s="12">
        <f t="shared" si="156"/>
        <v>-1.3927723074050868</v>
      </c>
    </row>
    <row r="251" spans="1:26" x14ac:dyDescent="0.3">
      <c r="A251" s="9"/>
      <c r="B251" s="9"/>
      <c r="C251" s="9"/>
      <c r="D251" s="3"/>
      <c r="E251" s="3"/>
      <c r="F251" s="6"/>
      <c r="G251" s="3"/>
      <c r="H251" s="3"/>
      <c r="I251" s="3"/>
      <c r="J251" s="6"/>
      <c r="K251" s="3"/>
      <c r="L251" s="3"/>
      <c r="M251" s="3"/>
      <c r="N251" s="6"/>
      <c r="P251" s="3"/>
      <c r="Q251" s="3"/>
      <c r="R251" s="6"/>
      <c r="S251" s="3"/>
      <c r="T251" s="3"/>
      <c r="U251" s="3"/>
      <c r="V251" s="6"/>
      <c r="W251" s="3"/>
      <c r="X251" s="3"/>
      <c r="Y251" s="3"/>
      <c r="Z251" s="6"/>
    </row>
    <row r="252" spans="1:26" s="23" customFormat="1" ht="15" thickBot="1" x14ac:dyDescent="0.35">
      <c r="A252" s="10"/>
      <c r="B252" s="25" t="s">
        <v>293</v>
      </c>
      <c r="C252" s="25"/>
      <c r="D252" s="30">
        <f>SUM(D247:D251)</f>
        <v>182387.58999999939</v>
      </c>
      <c r="E252" s="13"/>
      <c r="F252" s="31">
        <f>IF(D$12=0,0,D252/D$12)</f>
        <v>7.3291203990154374E-2</v>
      </c>
      <c r="G252" s="13"/>
      <c r="H252" s="30">
        <f>SUM(H247:H251)</f>
        <v>345001.85000000003</v>
      </c>
      <c r="I252" s="13"/>
      <c r="J252" s="31">
        <f>IF(H$12=0,0,H252/H$12)</f>
        <v>0.15603937553376768</v>
      </c>
      <c r="K252" s="15"/>
      <c r="L252" s="30">
        <f>+D252-H252</f>
        <v>-162614.26000000065</v>
      </c>
      <c r="M252" s="15"/>
      <c r="N252" s="31">
        <f>IF(H252=0,0,L252/H252)</f>
        <v>-0.47134315366714885</v>
      </c>
      <c r="O252" s="26"/>
      <c r="P252" s="30">
        <f>SUM(P247:P251)</f>
        <v>-585945.62999999989</v>
      </c>
      <c r="Q252" s="13"/>
      <c r="R252" s="31">
        <f>IF(P$12=0,0,P252/P$12)</f>
        <v>-0.19579279300183117</v>
      </c>
      <c r="S252" s="13"/>
      <c r="T252" s="30">
        <f>SUM(T247:T251)</f>
        <v>132499.8099999995</v>
      </c>
      <c r="U252" s="13"/>
      <c r="V252" s="31">
        <f>IF(T$12=0,0,T252/T$12)</f>
        <v>4.929491062987286E-2</v>
      </c>
      <c r="W252" s="15"/>
      <c r="X252" s="30">
        <f>+P252-T252</f>
        <v>-718445.43999999936</v>
      </c>
      <c r="Y252" s="15"/>
      <c r="Z252" s="31">
        <f>IF(T252=0,0,X252/T252)</f>
        <v>-5.4222375111330505</v>
      </c>
    </row>
    <row r="253" spans="1:26" ht="15" thickTop="1" x14ac:dyDescent="0.3">
      <c r="A253" s="9"/>
      <c r="C253" s="9"/>
      <c r="D253" s="17"/>
      <c r="E253" s="17"/>
      <c r="G253" s="17"/>
      <c r="H253" s="17"/>
      <c r="I253" s="17"/>
      <c r="J253" s="43"/>
      <c r="K253" s="17"/>
      <c r="L253" s="17"/>
      <c r="M253" s="17"/>
      <c r="P253" s="17"/>
      <c r="Q253" s="17"/>
      <c r="R253" s="43"/>
      <c r="S253" s="17"/>
      <c r="T253" s="17"/>
      <c r="U253" s="17"/>
      <c r="V253" s="43"/>
      <c r="W253" s="17"/>
      <c r="X253" s="17"/>
    </row>
    <row r="254" spans="1:26" x14ac:dyDescent="0.3">
      <c r="A254" s="9"/>
      <c r="B254" s="59">
        <v>44470.840478935184</v>
      </c>
      <c r="D254" s="17"/>
      <c r="E254" s="17"/>
      <c r="G254" s="17"/>
      <c r="H254" s="17"/>
      <c r="I254" s="17"/>
      <c r="J254" s="43"/>
      <c r="K254" s="17"/>
      <c r="L254" s="17"/>
      <c r="M254" s="17"/>
      <c r="P254" s="17"/>
      <c r="Q254" s="17"/>
      <c r="R254" s="43"/>
      <c r="S254" s="17"/>
      <c r="T254" s="17"/>
      <c r="U254" s="17"/>
      <c r="V254" s="43"/>
      <c r="W254" s="17"/>
      <c r="X254" s="17"/>
    </row>
    <row r="255" spans="1:26" x14ac:dyDescent="0.3">
      <c r="A255" s="9"/>
      <c r="B255" s="58" t="s">
        <v>56</v>
      </c>
      <c r="D255" s="17"/>
      <c r="E255" s="17"/>
      <c r="G255" s="17"/>
      <c r="H255" s="17"/>
      <c r="I255" s="17"/>
      <c r="J255" s="43"/>
      <c r="K255" s="17"/>
      <c r="L255" s="17"/>
      <c r="M255" s="17"/>
      <c r="P255" s="17"/>
      <c r="Q255" s="17"/>
      <c r="R255" s="43"/>
      <c r="S255" s="17"/>
      <c r="T255" s="17"/>
      <c r="U255" s="17"/>
      <c r="V255" s="43"/>
      <c r="W255" s="17"/>
      <c r="X255" s="17"/>
    </row>
    <row r="256" spans="1:26" x14ac:dyDescent="0.3">
      <c r="A256" s="9"/>
      <c r="B256" s="52"/>
      <c r="D256" s="17"/>
      <c r="E256" s="17"/>
      <c r="G256" s="17"/>
      <c r="H256" s="17"/>
      <c r="I256" s="17"/>
      <c r="J256" s="43"/>
      <c r="K256" s="17"/>
      <c r="L256" s="17"/>
      <c r="M256" s="17"/>
      <c r="P256" s="17"/>
      <c r="Q256" s="17"/>
      <c r="R256" s="43"/>
      <c r="S256" s="17"/>
      <c r="T256" s="17"/>
      <c r="U256" s="17"/>
      <c r="V256" s="43"/>
      <c r="W256" s="17"/>
      <c r="X256" s="17"/>
    </row>
    <row r="257" spans="4:24" x14ac:dyDescent="0.3">
      <c r="D257" s="17"/>
      <c r="E257" s="17"/>
      <c r="G257" s="17"/>
      <c r="H257" s="17"/>
      <c r="I257" s="17"/>
      <c r="J257" s="43"/>
      <c r="K257" s="17"/>
      <c r="L257" s="17"/>
      <c r="M257" s="17"/>
      <c r="P257" s="17"/>
      <c r="Q257" s="17"/>
      <c r="R257" s="43"/>
      <c r="S257" s="17"/>
      <c r="T257" s="17"/>
      <c r="U257" s="17"/>
      <c r="V257" s="43"/>
      <c r="W257" s="17"/>
      <c r="X257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","100", " - ", "Corporate")</f>
        <v>Department 100 - Corporate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61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6"/>
      <c r="G21" s="3"/>
      <c r="H21" s="3"/>
      <c r="I21" s="3"/>
      <c r="J21" s="6"/>
      <c r="K21" s="3"/>
      <c r="L21" s="3"/>
      <c r="M21" s="3"/>
      <c r="N21" s="6"/>
      <c r="O21" s="10"/>
      <c r="P21" s="3"/>
      <c r="Q21" s="3"/>
      <c r="R21" s="6"/>
      <c r="S21" s="3"/>
      <c r="T21" s="3"/>
      <c r="U21" s="3"/>
      <c r="V21" s="6"/>
      <c r="W21" s="3"/>
      <c r="X21" s="3"/>
      <c r="Y21" s="3"/>
      <c r="Z21" s="6"/>
    </row>
    <row r="22" spans="1:26" s="23" customFormat="1" x14ac:dyDescent="0.3">
      <c r="A22" s="10"/>
      <c r="B22" s="25" t="s">
        <v>276</v>
      </c>
      <c r="C22" s="25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6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6"/>
      <c r="G23" s="3"/>
      <c r="H23" s="3"/>
      <c r="I23" s="3"/>
      <c r="J23" s="6"/>
      <c r="K23" s="3"/>
      <c r="L23" s="3"/>
      <c r="M23" s="3"/>
      <c r="N23" s="6"/>
      <c r="P23" s="3"/>
      <c r="Q23" s="3"/>
      <c r="R23" s="6"/>
      <c r="S23" s="3"/>
      <c r="T23" s="3"/>
      <c r="U23" s="3"/>
      <c r="V23" s="6"/>
      <c r="W23" s="3"/>
      <c r="X23" s="3"/>
      <c r="Y23" s="3"/>
      <c r="Z23" s="6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6"/>
      <c r="G25" s="3"/>
      <c r="H25" s="3"/>
      <c r="I25" s="3"/>
      <c r="J25" s="6"/>
      <c r="K25" s="3"/>
      <c r="L25" s="3"/>
      <c r="M25" s="3"/>
      <c r="N25" s="6"/>
      <c r="O25" s="10"/>
      <c r="P25" s="3"/>
      <c r="Q25" s="3"/>
      <c r="R25" s="6"/>
      <c r="S25" s="3"/>
      <c r="T25" s="3"/>
      <c r="U25" s="3"/>
      <c r="V25" s="6"/>
      <c r="W25" s="3"/>
      <c r="X25" s="3"/>
      <c r="Y25" s="3"/>
      <c r="Z25" s="6"/>
    </row>
    <row r="26" spans="1:26" s="23" customFormat="1" ht="15" thickBot="1" x14ac:dyDescent="0.35">
      <c r="A26" s="10"/>
      <c r="B26" s="25" t="s">
        <v>125</v>
      </c>
      <c r="C26" s="25"/>
      <c r="D26" s="33">
        <f>+D22-D24</f>
        <v>0</v>
      </c>
      <c r="E26" s="13"/>
      <c r="F26" s="36">
        <f>IF(D$12=0,0,D26/D$12)</f>
        <v>0</v>
      </c>
      <c r="G26" s="13"/>
      <c r="H26" s="33">
        <f>+H22-H24</f>
        <v>0</v>
      </c>
      <c r="I26" s="13"/>
      <c r="J26" s="36">
        <f>IF(H$12=0,0,H26/H$12)</f>
        <v>0</v>
      </c>
      <c r="K26" s="15"/>
      <c r="L26" s="33">
        <f>D26-H26</f>
        <v>0</v>
      </c>
      <c r="M26" s="15"/>
      <c r="N26" s="36">
        <f>IF(H26=0,0,L26/H26)</f>
        <v>0</v>
      </c>
      <c r="O26" s="26"/>
      <c r="P26" s="33">
        <f>+P22-P24</f>
        <v>0</v>
      </c>
      <c r="Q26" s="13"/>
      <c r="R26" s="36">
        <f>IF(P$12=0,0,P26/P$12)</f>
        <v>0</v>
      </c>
      <c r="S26" s="13"/>
      <c r="T26" s="33">
        <f>+T22-T24</f>
        <v>0</v>
      </c>
      <c r="U26" s="13"/>
      <c r="V26" s="36">
        <f>IF(T$12=0,0,T26/T$12)</f>
        <v>0</v>
      </c>
      <c r="W26" s="15"/>
      <c r="X26" s="33">
        <f>P26-T26</f>
        <v>0</v>
      </c>
      <c r="Y26" s="15"/>
      <c r="Z26" s="36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6"/>
      <c r="G27" s="3"/>
      <c r="H27" s="3"/>
      <c r="I27" s="3"/>
      <c r="J27" s="6"/>
      <c r="K27" s="3"/>
      <c r="L27" s="3"/>
      <c r="M27" s="3"/>
      <c r="N27" s="6"/>
      <c r="P27" s="3"/>
      <c r="Q27" s="3"/>
      <c r="R27" s="6"/>
      <c r="S27" s="3"/>
      <c r="T27" s="3"/>
      <c r="U27" s="3"/>
      <c r="V27" s="6"/>
      <c r="W27" s="3"/>
      <c r="X27" s="3"/>
      <c r="Y27" s="3"/>
      <c r="Z27" s="6"/>
    </row>
    <row r="28" spans="1:26" s="23" customFormat="1" x14ac:dyDescent="0.3">
      <c r="A28" s="51"/>
      <c r="B28" s="10" t="s">
        <v>183</v>
      </c>
      <c r="C28" s="10"/>
      <c r="D28" s="4">
        <f>--134736.5</f>
        <v>134736.5</v>
      </c>
      <c r="E28" s="4"/>
      <c r="F28" s="12">
        <f t="shared" ref="F28:F29" si="0">IF(D$12=0,0,D28/D$12)</f>
        <v>0</v>
      </c>
      <c r="G28" s="4"/>
      <c r="H28" s="4">
        <f>--487459.55</f>
        <v>487459.55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-352723.05</v>
      </c>
      <c r="M28" s="4"/>
      <c r="N28" s="12">
        <f t="shared" ref="N28:N29" si="3">IF(H28=0,0,L28/H28)</f>
        <v>-0.72359450132836667</v>
      </c>
      <c r="O28" s="10"/>
      <c r="P28" s="4">
        <f>--152858.8</f>
        <v>152858.79999999999</v>
      </c>
      <c r="Q28" s="4"/>
      <c r="R28" s="12">
        <f t="shared" ref="R28:R29" si="4">IF(P$12=0,0,P28/P$12)</f>
        <v>0</v>
      </c>
      <c r="S28" s="4"/>
      <c r="T28" s="4">
        <f>--951342.71</f>
        <v>951342.71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-798483.90999999992</v>
      </c>
      <c r="Y28" s="4"/>
      <c r="Z28" s="12">
        <f t="shared" ref="Z28:Z29" si="7">IF(T28=0,0,X28/T28)</f>
        <v>-0.83932309735153166</v>
      </c>
    </row>
    <row r="29" spans="1:26" s="23" customFormat="1" x14ac:dyDescent="0.3">
      <c r="A29" s="51"/>
      <c r="B29" s="10" t="s">
        <v>81</v>
      </c>
      <c r="C29" s="10"/>
      <c r="D29" s="4">
        <f>--12034.07</f>
        <v>12034.07</v>
      </c>
      <c r="E29" s="4"/>
      <c r="F29" s="12">
        <f t="shared" si="0"/>
        <v>0</v>
      </c>
      <c r="G29" s="4"/>
      <c r="H29" s="4">
        <f>--25064.99</f>
        <v>25064.99</v>
      </c>
      <c r="I29" s="4"/>
      <c r="J29" s="12">
        <f t="shared" si="1"/>
        <v>0</v>
      </c>
      <c r="K29" s="4"/>
      <c r="L29" s="4">
        <f t="shared" si="2"/>
        <v>-13030.920000000002</v>
      </c>
      <c r="M29" s="4"/>
      <c r="N29" s="12">
        <f t="shared" si="3"/>
        <v>-0.51988530615811146</v>
      </c>
      <c r="O29" s="10"/>
      <c r="P29" s="4">
        <f>--22216.49</f>
        <v>22216.49</v>
      </c>
      <c r="Q29" s="4"/>
      <c r="R29" s="12">
        <f t="shared" si="4"/>
        <v>0</v>
      </c>
      <c r="S29" s="4"/>
      <c r="T29" s="4">
        <f>-56563.28</f>
        <v>-56563.28</v>
      </c>
      <c r="U29" s="4"/>
      <c r="V29" s="12">
        <f t="shared" si="5"/>
        <v>0</v>
      </c>
      <c r="W29" s="4"/>
      <c r="X29" s="4">
        <f t="shared" si="6"/>
        <v>78779.77</v>
      </c>
      <c r="Y29" s="4"/>
      <c r="Z29" s="12">
        <f t="shared" si="7"/>
        <v>-1.3927723074050868</v>
      </c>
    </row>
    <row r="30" spans="1:26" x14ac:dyDescent="0.3">
      <c r="A30" s="9"/>
      <c r="B30" s="9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293</v>
      </c>
      <c r="C31" s="25"/>
      <c r="D31" s="30">
        <f>SUM(D26:D30)</f>
        <v>146770.57</v>
      </c>
      <c r="E31" s="13"/>
      <c r="F31" s="31">
        <f>IF(D$12=0,0,D31/D$12)</f>
        <v>0</v>
      </c>
      <c r="G31" s="13"/>
      <c r="H31" s="30">
        <f>SUM(H26:H30)</f>
        <v>512524.54</v>
      </c>
      <c r="I31" s="13"/>
      <c r="J31" s="31">
        <f>IF(H$12=0,0,H31/H$12)</f>
        <v>0</v>
      </c>
      <c r="K31" s="15"/>
      <c r="L31" s="30">
        <f>+D31-H31</f>
        <v>-365753.97</v>
      </c>
      <c r="M31" s="15"/>
      <c r="N31" s="31">
        <f>IF(H31=0,0,L31/H31)</f>
        <v>-0.71363211213262101</v>
      </c>
      <c r="O31" s="26"/>
      <c r="P31" s="30">
        <f>SUM(P26:P30)</f>
        <v>175075.28999999998</v>
      </c>
      <c r="Q31" s="13"/>
      <c r="R31" s="31">
        <f>IF(P$12=0,0,P31/P$12)</f>
        <v>0</v>
      </c>
      <c r="S31" s="13"/>
      <c r="T31" s="30">
        <f>SUM(T26:T30)</f>
        <v>894779.42999999993</v>
      </c>
      <c r="U31" s="13"/>
      <c r="V31" s="31">
        <f>IF(T$12=0,0,T31/T$12)</f>
        <v>0</v>
      </c>
      <c r="W31" s="15"/>
      <c r="X31" s="30">
        <f>+P31-T31</f>
        <v>-719704.1399999999</v>
      </c>
      <c r="Y31" s="15"/>
      <c r="Z31" s="31">
        <f>IF(T31=0,0,X31/T31)</f>
        <v>-0.80433693027565456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9">
        <v>44470.840542939812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214290.75</v>
      </c>
      <c r="E18" s="21"/>
      <c r="F18" s="32">
        <f t="shared" ref="F18:F29" si="0">IF(D$12=0,0,D18/D$12)</f>
        <v>0</v>
      </c>
      <c r="G18" s="21"/>
      <c r="H18" s="21">
        <f>SUM(OSRRefH22x_0)</f>
        <v>219113.02000000002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-4822.2700000000186</v>
      </c>
      <c r="M18" s="4"/>
      <c r="N18" s="32">
        <f t="shared" ref="N18:N29" si="3">IF(H18=0,0,L18/H18)</f>
        <v>-2.2008139908801485E-2</v>
      </c>
      <c r="O18" s="10"/>
      <c r="P18" s="21">
        <f>SUM(OSRRefP22x_0)</f>
        <v>447205.60999999993</v>
      </c>
      <c r="Q18" s="21"/>
      <c r="R18" s="32">
        <f t="shared" ref="R18:R29" si="4">IF(P$12=0,0,P18/P$12)</f>
        <v>0</v>
      </c>
      <c r="S18" s="21"/>
      <c r="T18" s="21">
        <f>SUM(OSRRefT22x_0)</f>
        <v>453816.25999999989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-6610.6499999999651</v>
      </c>
      <c r="Y18" s="4"/>
      <c r="Z18" s="32">
        <f t="shared" ref="Z18:Z29" si="7">IF(T18=0,0,X18/T18)</f>
        <v>-1.4566798465969392E-2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79002.249999999985</v>
      </c>
      <c r="E19" s="1"/>
      <c r="F19" s="5">
        <f t="shared" si="0"/>
        <v>0</v>
      </c>
      <c r="G19" s="1"/>
      <c r="H19" s="1">
        <f>SUM(OSRRefH22_0x_0)</f>
        <v>80654.989999999991</v>
      </c>
      <c r="I19" s="1"/>
      <c r="J19" s="5">
        <f t="shared" si="1"/>
        <v>0</v>
      </c>
      <c r="K19" s="1"/>
      <c r="L19" s="1">
        <f t="shared" si="2"/>
        <v>-1652.7400000000052</v>
      </c>
      <c r="M19" s="1"/>
      <c r="N19" s="5">
        <f t="shared" si="3"/>
        <v>-2.0491478580556582E-2</v>
      </c>
      <c r="O19" s="14"/>
      <c r="P19" s="1">
        <f>SUM(OSRRefP22_0x_0)</f>
        <v>157203.66999999998</v>
      </c>
      <c r="Q19" s="1"/>
      <c r="R19" s="5">
        <f t="shared" si="4"/>
        <v>0</v>
      </c>
      <c r="S19" s="1"/>
      <c r="T19" s="1">
        <f>SUM(OSRRefT22_0x_0)</f>
        <v>164793.91</v>
      </c>
      <c r="U19" s="1"/>
      <c r="V19" s="5">
        <f t="shared" si="5"/>
        <v>0</v>
      </c>
      <c r="W19" s="1"/>
      <c r="X19" s="1">
        <f t="shared" si="6"/>
        <v>-7590.2400000000198</v>
      </c>
      <c r="Y19" s="1"/>
      <c r="Z19" s="5">
        <f t="shared" si="7"/>
        <v>-4.605898361171247E-2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7400.56</v>
      </c>
      <c r="E20" s="2"/>
      <c r="F20" s="8">
        <f t="shared" si="0"/>
        <v>0</v>
      </c>
      <c r="G20" s="2"/>
      <c r="H20" s="7">
        <v>7377.1</v>
      </c>
      <c r="I20" s="2"/>
      <c r="J20" s="8">
        <f t="shared" si="1"/>
        <v>0</v>
      </c>
      <c r="K20" s="2"/>
      <c r="L20" s="7">
        <f t="shared" si="2"/>
        <v>23.460000000000036</v>
      </c>
      <c r="M20" s="2"/>
      <c r="N20" s="8">
        <f t="shared" si="3"/>
        <v>3.180111425899071E-3</v>
      </c>
      <c r="O20" s="11"/>
      <c r="P20" s="7">
        <v>14808.07</v>
      </c>
      <c r="Q20" s="2"/>
      <c r="R20" s="8">
        <f t="shared" si="4"/>
        <v>0</v>
      </c>
      <c r="S20" s="2"/>
      <c r="T20" s="7">
        <v>14775.39</v>
      </c>
      <c r="U20" s="2"/>
      <c r="V20" s="8">
        <f t="shared" si="5"/>
        <v>0</v>
      </c>
      <c r="W20" s="2"/>
      <c r="X20" s="7">
        <f t="shared" si="6"/>
        <v>32.680000000000291</v>
      </c>
      <c r="Y20" s="2"/>
      <c r="Z20" s="8">
        <f t="shared" si="7"/>
        <v>2.2117859494741117E-3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1432.38</v>
      </c>
      <c r="E21" s="2"/>
      <c r="F21" s="8">
        <f t="shared" si="0"/>
        <v>0</v>
      </c>
      <c r="G21" s="2"/>
      <c r="H21" s="7">
        <v>595.07000000000005</v>
      </c>
      <c r="I21" s="2"/>
      <c r="J21" s="8">
        <f t="shared" si="1"/>
        <v>0</v>
      </c>
      <c r="K21" s="2"/>
      <c r="L21" s="7">
        <f t="shared" si="2"/>
        <v>837.31000000000006</v>
      </c>
      <c r="M21" s="2"/>
      <c r="N21" s="8">
        <f t="shared" si="3"/>
        <v>1.4070781588720656</v>
      </c>
      <c r="O21" s="11"/>
      <c r="P21" s="7">
        <v>2856.75</v>
      </c>
      <c r="Q21" s="2"/>
      <c r="R21" s="8">
        <f t="shared" si="4"/>
        <v>0</v>
      </c>
      <c r="S21" s="2"/>
      <c r="T21" s="7">
        <v>1192.29</v>
      </c>
      <c r="U21" s="2"/>
      <c r="V21" s="8">
        <f t="shared" si="5"/>
        <v>0</v>
      </c>
      <c r="W21" s="2"/>
      <c r="X21" s="7">
        <f t="shared" si="6"/>
        <v>1664.46</v>
      </c>
      <c r="Y21" s="2"/>
      <c r="Z21" s="8">
        <f t="shared" si="7"/>
        <v>1.3960194248043682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22410.55</v>
      </c>
      <c r="E22" s="2"/>
      <c r="F22" s="8">
        <f t="shared" si="0"/>
        <v>0</v>
      </c>
      <c r="G22" s="2"/>
      <c r="H22" s="7">
        <v>22694.37</v>
      </c>
      <c r="I22" s="2"/>
      <c r="J22" s="8">
        <f t="shared" si="1"/>
        <v>0</v>
      </c>
      <c r="K22" s="2"/>
      <c r="L22" s="7">
        <f t="shared" si="2"/>
        <v>-283.81999999999971</v>
      </c>
      <c r="M22" s="2"/>
      <c r="N22" s="8">
        <f t="shared" si="3"/>
        <v>-1.2506185454806621E-2</v>
      </c>
      <c r="O22" s="11"/>
      <c r="P22" s="7">
        <v>44821.1</v>
      </c>
      <c r="Q22" s="2"/>
      <c r="R22" s="8">
        <f t="shared" si="4"/>
        <v>0</v>
      </c>
      <c r="S22" s="2"/>
      <c r="T22" s="7">
        <v>45283.42</v>
      </c>
      <c r="U22" s="2"/>
      <c r="V22" s="8">
        <f t="shared" si="5"/>
        <v>0</v>
      </c>
      <c r="W22" s="2"/>
      <c r="X22" s="7">
        <f t="shared" si="6"/>
        <v>-462.31999999999971</v>
      </c>
      <c r="Y22" s="2"/>
      <c r="Z22" s="8">
        <f t="shared" si="7"/>
        <v>-1.0209476227723077E-2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250.67</v>
      </c>
      <c r="E23" s="2"/>
      <c r="F23" s="8">
        <f t="shared" si="0"/>
        <v>0</v>
      </c>
      <c r="G23" s="2"/>
      <c r="H23" s="7">
        <v>254.15</v>
      </c>
      <c r="I23" s="2"/>
      <c r="J23" s="8">
        <f t="shared" si="1"/>
        <v>0</v>
      </c>
      <c r="K23" s="2"/>
      <c r="L23" s="7">
        <f t="shared" si="2"/>
        <v>-3.4800000000000182</v>
      </c>
      <c r="M23" s="2"/>
      <c r="N23" s="8">
        <f t="shared" si="3"/>
        <v>-1.3692701160731922E-2</v>
      </c>
      <c r="O23" s="11"/>
      <c r="P23" s="7">
        <v>502.14</v>
      </c>
      <c r="Q23" s="2"/>
      <c r="R23" s="8">
        <f t="shared" si="4"/>
        <v>0</v>
      </c>
      <c r="S23" s="2"/>
      <c r="T23" s="7">
        <v>508.14</v>
      </c>
      <c r="U23" s="2"/>
      <c r="V23" s="8">
        <f t="shared" si="5"/>
        <v>0</v>
      </c>
      <c r="W23" s="2"/>
      <c r="X23" s="7">
        <f t="shared" si="6"/>
        <v>-6</v>
      </c>
      <c r="Y23" s="2"/>
      <c r="Z23" s="8">
        <f t="shared" si="7"/>
        <v>-1.180776951233912E-2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7497.95</v>
      </c>
      <c r="E24" s="2"/>
      <c r="F24" s="8">
        <f t="shared" si="0"/>
        <v>0</v>
      </c>
      <c r="G24" s="2"/>
      <c r="H24" s="7">
        <v>7443.75</v>
      </c>
      <c r="I24" s="2"/>
      <c r="J24" s="8">
        <f t="shared" si="1"/>
        <v>0</v>
      </c>
      <c r="K24" s="2"/>
      <c r="L24" s="7">
        <f t="shared" si="2"/>
        <v>54.199999999999818</v>
      </c>
      <c r="M24" s="2"/>
      <c r="N24" s="8">
        <f t="shared" si="3"/>
        <v>7.2812762384550549E-3</v>
      </c>
      <c r="O24" s="11"/>
      <c r="P24" s="7">
        <v>14995.9</v>
      </c>
      <c r="Q24" s="2"/>
      <c r="R24" s="8">
        <f t="shared" si="4"/>
        <v>0</v>
      </c>
      <c r="S24" s="2"/>
      <c r="T24" s="7">
        <v>18609.39</v>
      </c>
      <c r="U24" s="2"/>
      <c r="V24" s="8">
        <f t="shared" si="5"/>
        <v>0</v>
      </c>
      <c r="W24" s="2"/>
      <c r="X24" s="7">
        <f t="shared" si="6"/>
        <v>-3613.49</v>
      </c>
      <c r="Y24" s="2"/>
      <c r="Z24" s="8">
        <f t="shared" si="7"/>
        <v>-0.19417562854021544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>
        <v>939.2</v>
      </c>
      <c r="E25" s="2"/>
      <c r="F25" s="8">
        <f t="shared" si="0"/>
        <v>0</v>
      </c>
      <c r="G25" s="2"/>
      <c r="H25" s="7">
        <v>774.77</v>
      </c>
      <c r="I25" s="2"/>
      <c r="J25" s="8">
        <f t="shared" si="1"/>
        <v>0</v>
      </c>
      <c r="K25" s="2"/>
      <c r="L25" s="7">
        <f t="shared" si="2"/>
        <v>164.43000000000006</v>
      </c>
      <c r="M25" s="2"/>
      <c r="N25" s="8">
        <f t="shared" si="3"/>
        <v>0.21223072653819852</v>
      </c>
      <c r="O25" s="11"/>
      <c r="P25" s="7">
        <v>1542.68</v>
      </c>
      <c r="Q25" s="2"/>
      <c r="R25" s="8">
        <f t="shared" si="4"/>
        <v>0</v>
      </c>
      <c r="S25" s="2"/>
      <c r="T25" s="7">
        <v>1855.51</v>
      </c>
      <c r="U25" s="2"/>
      <c r="V25" s="8">
        <f t="shared" si="5"/>
        <v>0</v>
      </c>
      <c r="W25" s="2"/>
      <c r="X25" s="7">
        <f t="shared" si="6"/>
        <v>-312.82999999999993</v>
      </c>
      <c r="Y25" s="2"/>
      <c r="Z25" s="8">
        <f t="shared" si="7"/>
        <v>-0.16859515712661205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6468.2</v>
      </c>
      <c r="E26" s="2"/>
      <c r="F26" s="8">
        <f t="shared" si="0"/>
        <v>0</v>
      </c>
      <c r="G26" s="2"/>
      <c r="H26" s="7">
        <v>6115</v>
      </c>
      <c r="I26" s="2"/>
      <c r="J26" s="8">
        <f t="shared" si="1"/>
        <v>0</v>
      </c>
      <c r="K26" s="2"/>
      <c r="L26" s="7">
        <f t="shared" si="2"/>
        <v>353.19999999999982</v>
      </c>
      <c r="M26" s="2"/>
      <c r="N26" s="8">
        <f t="shared" si="3"/>
        <v>5.7759607522485663E-2</v>
      </c>
      <c r="O26" s="11"/>
      <c r="P26" s="7">
        <v>12834.41</v>
      </c>
      <c r="Q26" s="2"/>
      <c r="R26" s="8">
        <f t="shared" si="4"/>
        <v>0</v>
      </c>
      <c r="S26" s="2"/>
      <c r="T26" s="7">
        <v>12138.54</v>
      </c>
      <c r="U26" s="2"/>
      <c r="V26" s="8">
        <f t="shared" si="5"/>
        <v>0</v>
      </c>
      <c r="W26" s="2"/>
      <c r="X26" s="7">
        <f t="shared" si="6"/>
        <v>695.86999999999898</v>
      </c>
      <c r="Y26" s="2"/>
      <c r="Z26" s="8">
        <f t="shared" si="7"/>
        <v>5.7327322725797249E-2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4256.4799999999996</v>
      </c>
      <c r="E27" s="2"/>
      <c r="F27" s="8">
        <f t="shared" si="0"/>
        <v>0</v>
      </c>
      <c r="G27" s="2"/>
      <c r="H27" s="7">
        <v>4158.5</v>
      </c>
      <c r="I27" s="2"/>
      <c r="J27" s="8">
        <f t="shared" si="1"/>
        <v>0</v>
      </c>
      <c r="K27" s="2"/>
      <c r="L27" s="7">
        <f t="shared" si="2"/>
        <v>97.979999999999563</v>
      </c>
      <c r="M27" s="2"/>
      <c r="N27" s="8">
        <f t="shared" si="3"/>
        <v>2.3561380305398477E-2</v>
      </c>
      <c r="O27" s="11"/>
      <c r="P27" s="7">
        <v>8512.9599999999991</v>
      </c>
      <c r="Q27" s="2"/>
      <c r="R27" s="8">
        <f t="shared" si="4"/>
        <v>0</v>
      </c>
      <c r="S27" s="2"/>
      <c r="T27" s="7">
        <v>8317</v>
      </c>
      <c r="U27" s="2"/>
      <c r="V27" s="8">
        <f t="shared" si="5"/>
        <v>0</v>
      </c>
      <c r="W27" s="2"/>
      <c r="X27" s="7">
        <f t="shared" si="6"/>
        <v>195.95999999999913</v>
      </c>
      <c r="Y27" s="2"/>
      <c r="Z27" s="8">
        <f t="shared" si="7"/>
        <v>2.3561380305398477E-2</v>
      </c>
    </row>
    <row r="28" spans="1:26" s="24" customFormat="1" hidden="1" outlineLevel="2" x14ac:dyDescent="0.3">
      <c r="A28" s="27"/>
      <c r="B28" s="11" t="str">
        <f>CONCATENATE("          ", "6120", " - ", "RETIREES HEALTH INSURANCE")</f>
        <v xml:space="preserve">          6120 - RETIREES HEALTH INSURANCE</v>
      </c>
      <c r="C28" s="11"/>
      <c r="D28" s="7">
        <v>26975.06</v>
      </c>
      <c r="E28" s="2"/>
      <c r="F28" s="8">
        <f t="shared" si="0"/>
        <v>0</v>
      </c>
      <c r="G28" s="2"/>
      <c r="H28" s="7">
        <v>30426.25</v>
      </c>
      <c r="I28" s="2"/>
      <c r="J28" s="8">
        <f t="shared" si="1"/>
        <v>0</v>
      </c>
      <c r="K28" s="2"/>
      <c r="L28" s="7">
        <f t="shared" si="2"/>
        <v>-3451.1899999999987</v>
      </c>
      <c r="M28" s="2"/>
      <c r="N28" s="8">
        <f t="shared" si="3"/>
        <v>-0.11342804321925964</v>
      </c>
      <c r="O28" s="11"/>
      <c r="P28" s="7">
        <v>54111.12</v>
      </c>
      <c r="Q28" s="2"/>
      <c r="R28" s="8">
        <f t="shared" si="4"/>
        <v>0</v>
      </c>
      <c r="S28" s="2"/>
      <c r="T28" s="7">
        <v>60675.34</v>
      </c>
      <c r="U28" s="2"/>
      <c r="V28" s="8">
        <f t="shared" si="5"/>
        <v>0</v>
      </c>
      <c r="W28" s="2"/>
      <c r="X28" s="7">
        <f t="shared" si="6"/>
        <v>-6564.2199999999939</v>
      </c>
      <c r="Y28" s="2"/>
      <c r="Z28" s="8">
        <f t="shared" si="7"/>
        <v>-0.10818596154549763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1371.2</v>
      </c>
      <c r="E29" s="2"/>
      <c r="F29" s="8">
        <f t="shared" si="0"/>
        <v>0</v>
      </c>
      <c r="G29" s="2"/>
      <c r="H29" s="7">
        <v>816.03</v>
      </c>
      <c r="I29" s="2"/>
      <c r="J29" s="8">
        <f t="shared" si="1"/>
        <v>0</v>
      </c>
      <c r="K29" s="2"/>
      <c r="L29" s="7">
        <f t="shared" si="2"/>
        <v>555.17000000000007</v>
      </c>
      <c r="M29" s="2"/>
      <c r="N29" s="8">
        <f t="shared" si="3"/>
        <v>0.68033038001053892</v>
      </c>
      <c r="O29" s="11"/>
      <c r="P29" s="7">
        <v>2218.54</v>
      </c>
      <c r="Q29" s="2"/>
      <c r="R29" s="8">
        <f t="shared" si="4"/>
        <v>0</v>
      </c>
      <c r="S29" s="2"/>
      <c r="T29" s="7">
        <v>1438.89</v>
      </c>
      <c r="U29" s="2"/>
      <c r="V29" s="8">
        <f t="shared" si="5"/>
        <v>0</v>
      </c>
      <c r="W29" s="2"/>
      <c r="X29" s="7">
        <f t="shared" si="6"/>
        <v>779.64999999999986</v>
      </c>
      <c r="Y29" s="2"/>
      <c r="Z29" s="8">
        <f t="shared" si="7"/>
        <v>0.54184128043144353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88432.98</v>
      </c>
      <c r="E30" s="1"/>
      <c r="F30" s="5">
        <f t="shared" ref="F30:F36" si="8">IF(D$12=0,0,D30/D$12)</f>
        <v>0</v>
      </c>
      <c r="G30" s="1"/>
      <c r="H30" s="1">
        <f>SUM(OSRRefH22_1x_0)</f>
        <v>89313.989999999991</v>
      </c>
      <c r="I30" s="1"/>
      <c r="J30" s="5">
        <f t="shared" ref="J30:J36" si="9">IF(H$12=0,0,H30/H$12)</f>
        <v>0</v>
      </c>
      <c r="K30" s="1"/>
      <c r="L30" s="1">
        <f t="shared" ref="L30:L36" si="10">+D30-H30</f>
        <v>-881.00999999999476</v>
      </c>
      <c r="M30" s="1"/>
      <c r="N30" s="5">
        <f t="shared" ref="N30:N36" si="11">IF(H30=0,0,L30/H30)</f>
        <v>-9.8641881299894318E-3</v>
      </c>
      <c r="O30" s="14"/>
      <c r="P30" s="1">
        <f>SUM(OSRRefP22_1x_0)</f>
        <v>203087.67</v>
      </c>
      <c r="Q30" s="1"/>
      <c r="R30" s="5">
        <f t="shared" ref="R30:R36" si="12">IF(P$12=0,0,P30/P$12)</f>
        <v>0</v>
      </c>
      <c r="S30" s="1"/>
      <c r="T30" s="1">
        <f>SUM(OSRRefT22_1x_0)</f>
        <v>203620.9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-533.22999999998137</v>
      </c>
      <c r="Y30" s="1"/>
      <c r="Z30" s="5">
        <f t="shared" ref="Z30:Z36" si="15">IF(T30=0,0,X30/T30)</f>
        <v>-2.6187390390671164E-3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21415.54</v>
      </c>
      <c r="E31" s="2"/>
      <c r="F31" s="8">
        <f t="shared" si="8"/>
        <v>0</v>
      </c>
      <c r="G31" s="2"/>
      <c r="H31" s="7">
        <v>20804.48</v>
      </c>
      <c r="I31" s="2"/>
      <c r="J31" s="8">
        <f t="shared" si="9"/>
        <v>0</v>
      </c>
      <c r="K31" s="2"/>
      <c r="L31" s="7">
        <f t="shared" si="10"/>
        <v>611.06000000000131</v>
      </c>
      <c r="M31" s="2"/>
      <c r="N31" s="8">
        <f t="shared" si="11"/>
        <v>2.9371558433568219E-2</v>
      </c>
      <c r="O31" s="11"/>
      <c r="P31" s="7">
        <v>51377.88</v>
      </c>
      <c r="Q31" s="2"/>
      <c r="R31" s="8">
        <f t="shared" si="12"/>
        <v>0</v>
      </c>
      <c r="S31" s="2"/>
      <c r="T31" s="7">
        <v>49554.77</v>
      </c>
      <c r="U31" s="2"/>
      <c r="V31" s="8">
        <f t="shared" si="13"/>
        <v>0</v>
      </c>
      <c r="W31" s="2"/>
      <c r="X31" s="7">
        <f t="shared" si="14"/>
        <v>1823.1100000000006</v>
      </c>
      <c r="Y31" s="2"/>
      <c r="Z31" s="8">
        <f t="shared" si="15"/>
        <v>3.6789798439181551E-2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>
        <v>46219.02</v>
      </c>
      <c r="E32" s="2"/>
      <c r="F32" s="8">
        <f t="shared" si="8"/>
        <v>0</v>
      </c>
      <c r="G32" s="2"/>
      <c r="H32" s="7">
        <v>44494.06</v>
      </c>
      <c r="I32" s="2"/>
      <c r="J32" s="8">
        <f t="shared" si="9"/>
        <v>0</v>
      </c>
      <c r="K32" s="2"/>
      <c r="L32" s="7">
        <f t="shared" si="10"/>
        <v>1724.9599999999991</v>
      </c>
      <c r="M32" s="2"/>
      <c r="N32" s="8">
        <f t="shared" si="11"/>
        <v>3.8768320984868522E-2</v>
      </c>
      <c r="O32" s="11"/>
      <c r="P32" s="7">
        <v>103538.16</v>
      </c>
      <c r="Q32" s="2"/>
      <c r="R32" s="8">
        <f t="shared" si="12"/>
        <v>0</v>
      </c>
      <c r="S32" s="2"/>
      <c r="T32" s="7">
        <v>97784.41</v>
      </c>
      <c r="U32" s="2"/>
      <c r="V32" s="8">
        <f t="shared" si="13"/>
        <v>0</v>
      </c>
      <c r="W32" s="2"/>
      <c r="X32" s="7">
        <f t="shared" si="14"/>
        <v>5753.75</v>
      </c>
      <c r="Y32" s="2"/>
      <c r="Z32" s="8">
        <f t="shared" si="15"/>
        <v>5.8841179284100605E-2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18220.169999999998</v>
      </c>
      <c r="E33" s="2"/>
      <c r="F33" s="8">
        <f t="shared" si="8"/>
        <v>0</v>
      </c>
      <c r="G33" s="2"/>
      <c r="H33" s="7">
        <v>17348.59</v>
      </c>
      <c r="I33" s="2"/>
      <c r="J33" s="8">
        <f t="shared" si="9"/>
        <v>0</v>
      </c>
      <c r="K33" s="2"/>
      <c r="L33" s="7">
        <f t="shared" si="10"/>
        <v>871.57999999999811</v>
      </c>
      <c r="M33" s="2"/>
      <c r="N33" s="8">
        <f t="shared" si="11"/>
        <v>5.0239241344685541E-2</v>
      </c>
      <c r="O33" s="11"/>
      <c r="P33" s="7">
        <v>36301.06</v>
      </c>
      <c r="Q33" s="2"/>
      <c r="R33" s="8">
        <f t="shared" si="12"/>
        <v>0</v>
      </c>
      <c r="S33" s="2"/>
      <c r="T33" s="7">
        <v>35878.89</v>
      </c>
      <c r="U33" s="2"/>
      <c r="V33" s="8">
        <f t="shared" si="13"/>
        <v>0</v>
      </c>
      <c r="W33" s="2"/>
      <c r="X33" s="7">
        <f t="shared" si="14"/>
        <v>422.16999999999825</v>
      </c>
      <c r="Y33" s="2"/>
      <c r="Z33" s="8">
        <f t="shared" si="15"/>
        <v>1.1766529009119241E-2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974.25</v>
      </c>
      <c r="E34" s="2"/>
      <c r="F34" s="8">
        <f t="shared" si="8"/>
        <v>0</v>
      </c>
      <c r="G34" s="2"/>
      <c r="H34" s="7">
        <v>5756.74</v>
      </c>
      <c r="I34" s="2"/>
      <c r="J34" s="8">
        <f t="shared" si="9"/>
        <v>0</v>
      </c>
      <c r="K34" s="2"/>
      <c r="L34" s="7">
        <f t="shared" si="10"/>
        <v>-4782.49</v>
      </c>
      <c r="M34" s="2"/>
      <c r="N34" s="8">
        <f t="shared" si="11"/>
        <v>-0.83076359189402338</v>
      </c>
      <c r="O34" s="11"/>
      <c r="P34" s="7">
        <v>3001.25</v>
      </c>
      <c r="Q34" s="2"/>
      <c r="R34" s="8">
        <f t="shared" si="12"/>
        <v>0</v>
      </c>
      <c r="S34" s="2"/>
      <c r="T34" s="7">
        <v>11640.08</v>
      </c>
      <c r="U34" s="2"/>
      <c r="V34" s="8">
        <f t="shared" si="13"/>
        <v>0</v>
      </c>
      <c r="W34" s="2"/>
      <c r="X34" s="7">
        <f t="shared" si="14"/>
        <v>-8638.83</v>
      </c>
      <c r="Y34" s="2"/>
      <c r="Z34" s="8">
        <f t="shared" si="15"/>
        <v>-0.74216242500051544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7">
        <v>-1727</v>
      </c>
      <c r="E35" s="2"/>
      <c r="F35" s="8">
        <f t="shared" si="8"/>
        <v>0</v>
      </c>
      <c r="G35" s="2"/>
      <c r="H35" s="7">
        <v>-900.11</v>
      </c>
      <c r="I35" s="2"/>
      <c r="J35" s="8">
        <f t="shared" si="9"/>
        <v>0</v>
      </c>
      <c r="K35" s="2"/>
      <c r="L35" s="7">
        <f t="shared" si="10"/>
        <v>-826.89</v>
      </c>
      <c r="M35" s="2"/>
      <c r="N35" s="8">
        <f t="shared" si="11"/>
        <v>0.91865438668607169</v>
      </c>
      <c r="O35" s="11"/>
      <c r="P35" s="7">
        <v>3767</v>
      </c>
      <c r="Q35" s="2"/>
      <c r="R35" s="8">
        <f t="shared" si="12"/>
        <v>0</v>
      </c>
      <c r="S35" s="2"/>
      <c r="T35" s="7">
        <v>5723.89</v>
      </c>
      <c r="U35" s="2"/>
      <c r="V35" s="8">
        <f t="shared" si="13"/>
        <v>0</v>
      </c>
      <c r="W35" s="2"/>
      <c r="X35" s="7">
        <f t="shared" si="14"/>
        <v>-1956.8900000000003</v>
      </c>
      <c r="Y35" s="2"/>
      <c r="Z35" s="8">
        <f t="shared" si="15"/>
        <v>-0.3418811332852309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7">
        <v>3331</v>
      </c>
      <c r="E36" s="2"/>
      <c r="F36" s="8">
        <f t="shared" si="8"/>
        <v>0</v>
      </c>
      <c r="G36" s="2"/>
      <c r="H36" s="7">
        <v>1810.23</v>
      </c>
      <c r="I36" s="2"/>
      <c r="J36" s="8">
        <f t="shared" si="9"/>
        <v>0</v>
      </c>
      <c r="K36" s="2"/>
      <c r="L36" s="7">
        <f t="shared" si="10"/>
        <v>1520.77</v>
      </c>
      <c r="M36" s="2"/>
      <c r="N36" s="8">
        <f t="shared" si="11"/>
        <v>0.84009766714726852</v>
      </c>
      <c r="O36" s="11"/>
      <c r="P36" s="7">
        <v>5102.32</v>
      </c>
      <c r="Q36" s="2"/>
      <c r="R36" s="8">
        <f t="shared" si="12"/>
        <v>0</v>
      </c>
      <c r="S36" s="2"/>
      <c r="T36" s="7">
        <v>3038.86</v>
      </c>
      <c r="U36" s="2"/>
      <c r="V36" s="8">
        <f t="shared" si="13"/>
        <v>0</v>
      </c>
      <c r="W36" s="2"/>
      <c r="X36" s="7">
        <f t="shared" si="14"/>
        <v>2063.4599999999996</v>
      </c>
      <c r="Y36" s="2"/>
      <c r="Z36" s="8">
        <f t="shared" si="15"/>
        <v>0.67902437098122304</v>
      </c>
    </row>
    <row r="37" spans="1:26" s="28" customFormat="1" outlineLevel="1" collapsed="1" x14ac:dyDescent="0.3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302.39</v>
      </c>
      <c r="E37" s="1"/>
      <c r="F37" s="5">
        <f t="shared" ref="F37:F51" si="16">IF(D$12=0,0,D37/D$12)</f>
        <v>0</v>
      </c>
      <c r="G37" s="1"/>
      <c r="H37" s="1">
        <f>SUM(OSRRefH22_2x_0)</f>
        <v>176.68</v>
      </c>
      <c r="I37" s="1"/>
      <c r="J37" s="5">
        <f t="shared" ref="J37:J51" si="17">IF(H$12=0,0,H37/H$12)</f>
        <v>0</v>
      </c>
      <c r="K37" s="1"/>
      <c r="L37" s="1">
        <f t="shared" ref="L37:L51" si="18">+D37-H37</f>
        <v>125.70999999999998</v>
      </c>
      <c r="M37" s="1"/>
      <c r="N37" s="5">
        <f t="shared" ref="N37:N51" si="19">IF(H37=0,0,L37/H37)</f>
        <v>0.71151233869141939</v>
      </c>
      <c r="O37" s="14"/>
      <c r="P37" s="1">
        <f>SUM(OSRRefP22_2x_0)</f>
        <v>475.6</v>
      </c>
      <c r="Q37" s="1"/>
      <c r="R37" s="5">
        <f t="shared" ref="R37:R51" si="20">IF(P$12=0,0,P37/P$12)</f>
        <v>0</v>
      </c>
      <c r="S37" s="1"/>
      <c r="T37" s="1">
        <f>SUM(OSRRefT22_2x_0)</f>
        <v>235.06</v>
      </c>
      <c r="U37" s="1"/>
      <c r="V37" s="5">
        <f t="shared" ref="V37:V51" si="21">IF(T$12=0,0,T37/T$12)</f>
        <v>0</v>
      </c>
      <c r="W37" s="1"/>
      <c r="X37" s="1">
        <f t="shared" ref="X37:X51" si="22">+P37-T37</f>
        <v>240.54000000000002</v>
      </c>
      <c r="Y37" s="1"/>
      <c r="Z37" s="5">
        <f t="shared" ref="Z37:Z51" si="23">IF(T37=0,0,X37/T37)</f>
        <v>1.0233131966306477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302.39</v>
      </c>
      <c r="E38" s="2"/>
      <c r="F38" s="8">
        <f t="shared" si="16"/>
        <v>0</v>
      </c>
      <c r="G38" s="2"/>
      <c r="H38" s="7">
        <v>176.68</v>
      </c>
      <c r="I38" s="2"/>
      <c r="J38" s="8">
        <f t="shared" si="17"/>
        <v>0</v>
      </c>
      <c r="K38" s="2"/>
      <c r="L38" s="7">
        <f t="shared" si="18"/>
        <v>125.70999999999998</v>
      </c>
      <c r="M38" s="2"/>
      <c r="N38" s="8">
        <f t="shared" si="19"/>
        <v>0.71151233869141939</v>
      </c>
      <c r="O38" s="11"/>
      <c r="P38" s="7">
        <v>475.6</v>
      </c>
      <c r="Q38" s="2"/>
      <c r="R38" s="8">
        <f t="shared" si="20"/>
        <v>0</v>
      </c>
      <c r="S38" s="2"/>
      <c r="T38" s="7">
        <v>235.06</v>
      </c>
      <c r="U38" s="2"/>
      <c r="V38" s="8">
        <f t="shared" si="21"/>
        <v>0</v>
      </c>
      <c r="W38" s="2"/>
      <c r="X38" s="7">
        <f t="shared" si="22"/>
        <v>240.54000000000002</v>
      </c>
      <c r="Y38" s="2"/>
      <c r="Z38" s="8">
        <f t="shared" si="23"/>
        <v>1.0233131966306477</v>
      </c>
    </row>
    <row r="39" spans="1:26" s="28" customFormat="1" outlineLevel="1" collapsed="1" x14ac:dyDescent="0.3">
      <c r="A39" s="29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7</v>
      </c>
      <c r="E39" s="1"/>
      <c r="F39" s="5">
        <f t="shared" si="16"/>
        <v>0</v>
      </c>
      <c r="G39" s="1"/>
      <c r="H39" s="1">
        <f>SUM(OSRRefH22_3x_0)</f>
        <v>7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SUM(OSRRefP22_3x_0)</f>
        <v>2356.86</v>
      </c>
      <c r="Q39" s="1"/>
      <c r="R39" s="5">
        <f t="shared" si="20"/>
        <v>0</v>
      </c>
      <c r="S39" s="1"/>
      <c r="T39" s="1">
        <f>SUM(OSRRefT22_3x_0)</f>
        <v>930.98</v>
      </c>
      <c r="U39" s="1"/>
      <c r="V39" s="5">
        <f t="shared" si="21"/>
        <v>0</v>
      </c>
      <c r="W39" s="1"/>
      <c r="X39" s="1">
        <f t="shared" si="22"/>
        <v>1425.88</v>
      </c>
      <c r="Y39" s="1"/>
      <c r="Z39" s="5">
        <f t="shared" si="23"/>
        <v>1.5315903671400031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7">
        <v>7</v>
      </c>
      <c r="E40" s="2"/>
      <c r="F40" s="8">
        <f t="shared" si="16"/>
        <v>0</v>
      </c>
      <c r="G40" s="2"/>
      <c r="H40" s="7">
        <v>7</v>
      </c>
      <c r="I40" s="2"/>
      <c r="J40" s="8">
        <f t="shared" si="17"/>
        <v>0</v>
      </c>
      <c r="K40" s="2"/>
      <c r="L40" s="7">
        <f t="shared" si="18"/>
        <v>0</v>
      </c>
      <c r="M40" s="2"/>
      <c r="N40" s="8">
        <f t="shared" si="19"/>
        <v>0</v>
      </c>
      <c r="O40" s="11"/>
      <c r="P40" s="7">
        <v>2356.86</v>
      </c>
      <c r="Q40" s="2"/>
      <c r="R40" s="8">
        <f t="shared" si="20"/>
        <v>0</v>
      </c>
      <c r="S40" s="2"/>
      <c r="T40" s="7">
        <v>930.98</v>
      </c>
      <c r="U40" s="2"/>
      <c r="V40" s="8">
        <f t="shared" si="21"/>
        <v>0</v>
      </c>
      <c r="W40" s="2"/>
      <c r="X40" s="7">
        <f t="shared" si="22"/>
        <v>1425.88</v>
      </c>
      <c r="Y40" s="2"/>
      <c r="Z40" s="8">
        <f t="shared" si="23"/>
        <v>1.5315903671400031</v>
      </c>
    </row>
    <row r="41" spans="1:26" s="28" customFormat="1" outlineLevel="1" collapsed="1" x14ac:dyDescent="0.3">
      <c r="A41" s="29"/>
      <c r="B41" s="14" t="str">
        <f>CONCATENATE("     ","Board                                             ")</f>
        <v xml:space="preserve">     Board                                             </v>
      </c>
      <c r="C41" s="14"/>
      <c r="D41" s="1">
        <f>SUM(OSRRefD22_4x_0)</f>
        <v>1061.02</v>
      </c>
      <c r="E41" s="1"/>
      <c r="F41" s="5">
        <f t="shared" si="16"/>
        <v>0</v>
      </c>
      <c r="G41" s="1"/>
      <c r="H41" s="1">
        <f>SUM(OSRRefH22_4x_0)</f>
        <v>4354.01</v>
      </c>
      <c r="I41" s="1"/>
      <c r="J41" s="5">
        <f t="shared" si="17"/>
        <v>0</v>
      </c>
      <c r="K41" s="1"/>
      <c r="L41" s="1">
        <f t="shared" si="18"/>
        <v>-3292.9900000000002</v>
      </c>
      <c r="M41" s="1"/>
      <c r="N41" s="5">
        <f t="shared" si="19"/>
        <v>-0.7563119974460325</v>
      </c>
      <c r="O41" s="14"/>
      <c r="P41" s="1">
        <f>SUM(OSRRefP22_4x_0)</f>
        <v>1898.76</v>
      </c>
      <c r="Q41" s="1"/>
      <c r="R41" s="5">
        <f t="shared" si="20"/>
        <v>0</v>
      </c>
      <c r="S41" s="1"/>
      <c r="T41" s="1">
        <f>SUM(OSRRefT22_4x_0)</f>
        <v>5137.8</v>
      </c>
      <c r="U41" s="1"/>
      <c r="V41" s="5">
        <f t="shared" si="21"/>
        <v>0</v>
      </c>
      <c r="W41" s="1"/>
      <c r="X41" s="1">
        <f t="shared" si="22"/>
        <v>-3239.04</v>
      </c>
      <c r="Y41" s="1"/>
      <c r="Z41" s="5">
        <f t="shared" si="23"/>
        <v>-0.63043325937171546</v>
      </c>
    </row>
    <row r="42" spans="1:26" s="24" customFormat="1" hidden="1" outlineLevel="2" x14ac:dyDescent="0.3">
      <c r="A42" s="27"/>
      <c r="B42" s="11" t="str">
        <f>CONCATENATE("          ", "6397", " - ", "BOARD EXPENSES")</f>
        <v xml:space="preserve">          6397 - BOARD EXPENSES</v>
      </c>
      <c r="C42" s="11"/>
      <c r="D42" s="7">
        <v>1061.02</v>
      </c>
      <c r="E42" s="2"/>
      <c r="F42" s="8">
        <f t="shared" si="16"/>
        <v>0</v>
      </c>
      <c r="G42" s="2"/>
      <c r="H42" s="7">
        <v>4354.01</v>
      </c>
      <c r="I42" s="2"/>
      <c r="J42" s="8">
        <f t="shared" si="17"/>
        <v>0</v>
      </c>
      <c r="K42" s="2"/>
      <c r="L42" s="7">
        <f t="shared" si="18"/>
        <v>-3292.9900000000002</v>
      </c>
      <c r="M42" s="2"/>
      <c r="N42" s="8">
        <f t="shared" si="19"/>
        <v>-0.7563119974460325</v>
      </c>
      <c r="O42" s="11"/>
      <c r="P42" s="7">
        <v>1898.76</v>
      </c>
      <c r="Q42" s="2"/>
      <c r="R42" s="8">
        <f t="shared" si="20"/>
        <v>0</v>
      </c>
      <c r="S42" s="2"/>
      <c r="T42" s="7">
        <v>5137.8</v>
      </c>
      <c r="U42" s="2"/>
      <c r="V42" s="8">
        <f t="shared" si="21"/>
        <v>0</v>
      </c>
      <c r="W42" s="2"/>
      <c r="X42" s="7">
        <f t="shared" si="22"/>
        <v>-3239.04</v>
      </c>
      <c r="Y42" s="2"/>
      <c r="Z42" s="8">
        <f t="shared" si="23"/>
        <v>-0.63043325937171546</v>
      </c>
    </row>
    <row r="43" spans="1:26" s="28" customFormat="1" outlineLevel="1" collapsed="1" x14ac:dyDescent="0.3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6972.12</v>
      </c>
      <c r="E43" s="1"/>
      <c r="F43" s="5">
        <f t="shared" si="16"/>
        <v>0</v>
      </c>
      <c r="G43" s="1"/>
      <c r="H43" s="1">
        <f>SUM(OSRRefH22_5x_0)</f>
        <v>7607.16</v>
      </c>
      <c r="I43" s="1"/>
      <c r="J43" s="5">
        <f t="shared" si="17"/>
        <v>0</v>
      </c>
      <c r="K43" s="1"/>
      <c r="L43" s="1">
        <f t="shared" si="18"/>
        <v>-635.04</v>
      </c>
      <c r="M43" s="1"/>
      <c r="N43" s="5">
        <f t="shared" si="19"/>
        <v>-8.347924849746817E-2</v>
      </c>
      <c r="O43" s="14"/>
      <c r="P43" s="1">
        <f>SUM(OSRRefP22_5x_0)</f>
        <v>13944.24</v>
      </c>
      <c r="Q43" s="1"/>
      <c r="R43" s="5">
        <f t="shared" si="20"/>
        <v>0</v>
      </c>
      <c r="S43" s="1"/>
      <c r="T43" s="1">
        <f>SUM(OSRRefT22_5x_0)</f>
        <v>15214.32</v>
      </c>
      <c r="U43" s="1"/>
      <c r="V43" s="5">
        <f t="shared" si="21"/>
        <v>0</v>
      </c>
      <c r="W43" s="1"/>
      <c r="X43" s="1">
        <f t="shared" si="22"/>
        <v>-1270.08</v>
      </c>
      <c r="Y43" s="1"/>
      <c r="Z43" s="5">
        <f t="shared" si="23"/>
        <v>-8.347924849746817E-2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6972.12</v>
      </c>
      <c r="E44" s="2"/>
      <c r="F44" s="8">
        <f t="shared" si="16"/>
        <v>0</v>
      </c>
      <c r="G44" s="2"/>
      <c r="H44" s="7">
        <v>7607.16</v>
      </c>
      <c r="I44" s="2"/>
      <c r="J44" s="8">
        <f t="shared" si="17"/>
        <v>0</v>
      </c>
      <c r="K44" s="2"/>
      <c r="L44" s="7">
        <f t="shared" si="18"/>
        <v>-635.04</v>
      </c>
      <c r="M44" s="2"/>
      <c r="N44" s="8">
        <f t="shared" si="19"/>
        <v>-8.347924849746817E-2</v>
      </c>
      <c r="O44" s="11"/>
      <c r="P44" s="7">
        <v>13944.24</v>
      </c>
      <c r="Q44" s="2"/>
      <c r="R44" s="8">
        <f t="shared" si="20"/>
        <v>0</v>
      </c>
      <c r="S44" s="2"/>
      <c r="T44" s="7">
        <v>15214.32</v>
      </c>
      <c r="U44" s="2"/>
      <c r="V44" s="8">
        <f t="shared" si="21"/>
        <v>0</v>
      </c>
      <c r="W44" s="2"/>
      <c r="X44" s="7">
        <f t="shared" si="22"/>
        <v>-1270.08</v>
      </c>
      <c r="Y44" s="2"/>
      <c r="Z44" s="8">
        <f t="shared" si="23"/>
        <v>-8.347924849746817E-2</v>
      </c>
    </row>
    <row r="45" spans="1:26" s="28" customFormat="1" outlineLevel="1" collapsed="1" x14ac:dyDescent="0.3">
      <c r="A45" s="29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SUM(OSRRefD22_6x_0)</f>
        <v>0</v>
      </c>
      <c r="E45" s="1"/>
      <c r="F45" s="5">
        <f t="shared" si="16"/>
        <v>0</v>
      </c>
      <c r="G45" s="1"/>
      <c r="H45" s="1">
        <f>SUM(OSRRefH22_6x_0)</f>
        <v>81.56</v>
      </c>
      <c r="I45" s="1"/>
      <c r="J45" s="5">
        <f t="shared" si="17"/>
        <v>0</v>
      </c>
      <c r="K45" s="1"/>
      <c r="L45" s="1">
        <f t="shared" si="18"/>
        <v>-81.56</v>
      </c>
      <c r="M45" s="1"/>
      <c r="N45" s="5">
        <f t="shared" si="19"/>
        <v>-1</v>
      </c>
      <c r="O45" s="14"/>
      <c r="P45" s="1">
        <f>SUM(OSRRefP22_6x_0)</f>
        <v>0</v>
      </c>
      <c r="Q45" s="1"/>
      <c r="R45" s="5">
        <f t="shared" si="20"/>
        <v>0</v>
      </c>
      <c r="S45" s="1"/>
      <c r="T45" s="1">
        <f>SUM(OSRRefT22_6x_0)</f>
        <v>81.56</v>
      </c>
      <c r="U45" s="1"/>
      <c r="V45" s="5">
        <f t="shared" si="21"/>
        <v>0</v>
      </c>
      <c r="W45" s="1"/>
      <c r="X45" s="1">
        <f t="shared" si="22"/>
        <v>-81.56</v>
      </c>
      <c r="Y45" s="1"/>
      <c r="Z45" s="5">
        <f t="shared" si="23"/>
        <v>-1</v>
      </c>
    </row>
    <row r="46" spans="1:26" s="24" customFormat="1" hidden="1" outlineLevel="2" x14ac:dyDescent="0.3">
      <c r="A46" s="27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8">
        <f t="shared" si="16"/>
        <v>0</v>
      </c>
      <c r="G46" s="2"/>
      <c r="H46" s="7">
        <v>81.56</v>
      </c>
      <c r="I46" s="2"/>
      <c r="J46" s="8">
        <f t="shared" si="17"/>
        <v>0</v>
      </c>
      <c r="K46" s="2"/>
      <c r="L46" s="7">
        <f t="shared" si="18"/>
        <v>-81.56</v>
      </c>
      <c r="M46" s="2"/>
      <c r="N46" s="8">
        <f t="shared" si="19"/>
        <v>-1</v>
      </c>
      <c r="O46" s="11"/>
      <c r="P46" s="7"/>
      <c r="Q46" s="2"/>
      <c r="R46" s="8">
        <f t="shared" si="20"/>
        <v>0</v>
      </c>
      <c r="S46" s="2"/>
      <c r="T46" s="7">
        <v>81.56</v>
      </c>
      <c r="U46" s="2"/>
      <c r="V46" s="8">
        <f t="shared" si="21"/>
        <v>0</v>
      </c>
      <c r="W46" s="2"/>
      <c r="X46" s="7">
        <f t="shared" si="22"/>
        <v>-81.56</v>
      </c>
      <c r="Y46" s="2"/>
      <c r="Z46" s="8">
        <f t="shared" si="23"/>
        <v>-1</v>
      </c>
    </row>
    <row r="47" spans="1:26" s="28" customFormat="1" outlineLevel="1" collapsed="1" x14ac:dyDescent="0.3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SUM(OSRRefD22_7x_0)</f>
        <v>208.97</v>
      </c>
      <c r="E47" s="1"/>
      <c r="F47" s="5">
        <f t="shared" si="16"/>
        <v>0</v>
      </c>
      <c r="G47" s="1"/>
      <c r="H47" s="1">
        <f>SUM(OSRRefH22_7x_0)</f>
        <v>208.97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SUM(OSRRefP22_7x_0)</f>
        <v>417.94</v>
      </c>
      <c r="Q47" s="1"/>
      <c r="R47" s="5">
        <f t="shared" si="20"/>
        <v>0</v>
      </c>
      <c r="S47" s="1"/>
      <c r="T47" s="1">
        <f>SUM(OSRRefT22_7x_0)</f>
        <v>417.94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3">
      <c r="A48" s="27"/>
      <c r="B48" s="11" t="str">
        <f>CONCATENATE("          ", "6351", " - ", "EQUIPMENT RENTAL")</f>
        <v xml:space="preserve">          6351 - EQUIPMENT RENTAL</v>
      </c>
      <c r="C48" s="11"/>
      <c r="D48" s="7">
        <v>208.97</v>
      </c>
      <c r="E48" s="2"/>
      <c r="F48" s="8">
        <f t="shared" si="16"/>
        <v>0</v>
      </c>
      <c r="G48" s="2"/>
      <c r="H48" s="7">
        <v>208.97</v>
      </c>
      <c r="I48" s="2"/>
      <c r="J48" s="8">
        <f t="shared" si="17"/>
        <v>0</v>
      </c>
      <c r="K48" s="2"/>
      <c r="L48" s="7">
        <f t="shared" si="18"/>
        <v>0</v>
      </c>
      <c r="M48" s="2"/>
      <c r="N48" s="8">
        <f t="shared" si="19"/>
        <v>0</v>
      </c>
      <c r="O48" s="11"/>
      <c r="P48" s="7">
        <v>417.94</v>
      </c>
      <c r="Q48" s="2"/>
      <c r="R48" s="8">
        <f t="shared" si="20"/>
        <v>0</v>
      </c>
      <c r="S48" s="2"/>
      <c r="T48" s="7">
        <v>417.94</v>
      </c>
      <c r="U48" s="2"/>
      <c r="V48" s="8">
        <f t="shared" si="21"/>
        <v>0</v>
      </c>
      <c r="W48" s="2"/>
      <c r="X48" s="7">
        <f t="shared" si="22"/>
        <v>0</v>
      </c>
      <c r="Y48" s="2"/>
      <c r="Z48" s="8">
        <f t="shared" si="23"/>
        <v>0</v>
      </c>
    </row>
    <row r="49" spans="1:26" s="28" customFormat="1" outlineLevel="1" collapsed="1" x14ac:dyDescent="0.3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SUM(OSRRefD22_8x_0)</f>
        <v>183.16</v>
      </c>
      <c r="E49" s="1"/>
      <c r="F49" s="5">
        <f t="shared" si="16"/>
        <v>0</v>
      </c>
      <c r="G49" s="1"/>
      <c r="H49" s="1">
        <f>SUM(OSRRefH22_8x_0)</f>
        <v>174.01</v>
      </c>
      <c r="I49" s="1"/>
      <c r="J49" s="5">
        <f t="shared" si="17"/>
        <v>0</v>
      </c>
      <c r="K49" s="1"/>
      <c r="L49" s="1">
        <f t="shared" si="18"/>
        <v>9.1500000000000057</v>
      </c>
      <c r="M49" s="1"/>
      <c r="N49" s="5">
        <f t="shared" si="19"/>
        <v>5.2583184874432538E-2</v>
      </c>
      <c r="O49" s="14"/>
      <c r="P49" s="1">
        <f>SUM(OSRRefP22_8x_0)</f>
        <v>285.89</v>
      </c>
      <c r="Q49" s="1"/>
      <c r="R49" s="5">
        <f t="shared" si="20"/>
        <v>0</v>
      </c>
      <c r="S49" s="1"/>
      <c r="T49" s="1">
        <f>SUM(OSRRefT22_8x_0)</f>
        <v>258.01</v>
      </c>
      <c r="U49" s="1"/>
      <c r="V49" s="5">
        <f t="shared" si="21"/>
        <v>0</v>
      </c>
      <c r="W49" s="1"/>
      <c r="X49" s="1">
        <f t="shared" si="22"/>
        <v>27.879999999999995</v>
      </c>
      <c r="Y49" s="1"/>
      <c r="Z49" s="5">
        <f t="shared" si="23"/>
        <v>0.10805782721599937</v>
      </c>
    </row>
    <row r="50" spans="1:26" s="24" customFormat="1" hidden="1" outlineLevel="2" x14ac:dyDescent="0.3">
      <c r="A50" s="27"/>
      <c r="B50" s="11" t="str">
        <f>CONCATENATE("          ", "6305", " - ", "FREIGHT OUT")</f>
        <v xml:space="preserve">          6305 - FREIGHT OUT</v>
      </c>
      <c r="C50" s="11"/>
      <c r="D50" s="7"/>
      <c r="E50" s="2"/>
      <c r="F50" s="8">
        <f t="shared" si="16"/>
        <v>0</v>
      </c>
      <c r="G50" s="2"/>
      <c r="H50" s="7">
        <v>5.41</v>
      </c>
      <c r="I50" s="2"/>
      <c r="J50" s="8">
        <f t="shared" si="17"/>
        <v>0</v>
      </c>
      <c r="K50" s="2"/>
      <c r="L50" s="7">
        <f t="shared" si="18"/>
        <v>-5.41</v>
      </c>
      <c r="M50" s="2"/>
      <c r="N50" s="8">
        <f t="shared" si="19"/>
        <v>-1</v>
      </c>
      <c r="O50" s="11"/>
      <c r="P50" s="7"/>
      <c r="Q50" s="2"/>
      <c r="R50" s="8">
        <f t="shared" si="20"/>
        <v>0</v>
      </c>
      <c r="S50" s="2"/>
      <c r="T50" s="7">
        <v>5.41</v>
      </c>
      <c r="U50" s="2"/>
      <c r="V50" s="8">
        <f t="shared" si="21"/>
        <v>0</v>
      </c>
      <c r="W50" s="2"/>
      <c r="X50" s="7">
        <f t="shared" si="22"/>
        <v>-5.41</v>
      </c>
      <c r="Y50" s="2"/>
      <c r="Z50" s="8">
        <f t="shared" si="23"/>
        <v>-1</v>
      </c>
    </row>
    <row r="51" spans="1:26" s="24" customFormat="1" hidden="1" outlineLevel="2" x14ac:dyDescent="0.3">
      <c r="A51" s="27"/>
      <c r="B51" s="11" t="str">
        <f>CONCATENATE("          ", "6307", " - ", "POSTAGE")</f>
        <v xml:space="preserve">          6307 - POSTAGE</v>
      </c>
      <c r="C51" s="11"/>
      <c r="D51" s="7">
        <v>183.16</v>
      </c>
      <c r="E51" s="2"/>
      <c r="F51" s="8">
        <f t="shared" si="16"/>
        <v>0</v>
      </c>
      <c r="G51" s="2"/>
      <c r="H51" s="7">
        <v>168.6</v>
      </c>
      <c r="I51" s="2"/>
      <c r="J51" s="8">
        <f t="shared" si="17"/>
        <v>0</v>
      </c>
      <c r="K51" s="2"/>
      <c r="L51" s="7">
        <f t="shared" si="18"/>
        <v>14.560000000000002</v>
      </c>
      <c r="M51" s="2"/>
      <c r="N51" s="8">
        <f t="shared" si="19"/>
        <v>8.6358244365361825E-2</v>
      </c>
      <c r="O51" s="11"/>
      <c r="P51" s="7">
        <v>285.89</v>
      </c>
      <c r="Q51" s="2"/>
      <c r="R51" s="8">
        <f t="shared" si="20"/>
        <v>0</v>
      </c>
      <c r="S51" s="2"/>
      <c r="T51" s="7">
        <v>252.6</v>
      </c>
      <c r="U51" s="2"/>
      <c r="V51" s="8">
        <f t="shared" si="21"/>
        <v>0</v>
      </c>
      <c r="W51" s="2"/>
      <c r="X51" s="7">
        <f t="shared" si="22"/>
        <v>33.289999999999992</v>
      </c>
      <c r="Y51" s="2"/>
      <c r="Z51" s="8">
        <f t="shared" si="23"/>
        <v>0.13178939034045919</v>
      </c>
    </row>
    <row r="52" spans="1:26" s="28" customFormat="1" outlineLevel="1" collapsed="1" x14ac:dyDescent="0.3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SUM(OSRRefD22_9x_0)</f>
        <v>200.5</v>
      </c>
      <c r="E52" s="1"/>
      <c r="F52" s="5">
        <f t="shared" ref="F52:F59" si="24">IF(D$12=0,0,D52/D$12)</f>
        <v>0</v>
      </c>
      <c r="G52" s="1"/>
      <c r="H52" s="1">
        <f>SUM(OSRRefH22_9x_0)</f>
        <v>-684</v>
      </c>
      <c r="I52" s="1"/>
      <c r="J52" s="5">
        <f t="shared" ref="J52:J59" si="25">IF(H$12=0,0,H52/H$12)</f>
        <v>0</v>
      </c>
      <c r="K52" s="1"/>
      <c r="L52" s="1">
        <f t="shared" ref="L52:L59" si="26">+D52-H52</f>
        <v>884.5</v>
      </c>
      <c r="M52" s="1"/>
      <c r="N52" s="5">
        <f t="shared" ref="N52:N59" si="27">IF(H52=0,0,L52/H52)</f>
        <v>-1.2931286549707601</v>
      </c>
      <c r="O52" s="14"/>
      <c r="P52" s="1">
        <f>SUM(OSRRefP22_9x_0)</f>
        <v>1230</v>
      </c>
      <c r="Q52" s="1"/>
      <c r="R52" s="5">
        <f t="shared" ref="R52:R59" si="28">IF(P$12=0,0,P52/P$12)</f>
        <v>0</v>
      </c>
      <c r="S52" s="1"/>
      <c r="T52" s="1">
        <f>SUM(OSRRefT22_9x_0)</f>
        <v>-684</v>
      </c>
      <c r="U52" s="1"/>
      <c r="V52" s="5">
        <f t="shared" ref="V52:V59" si="29">IF(T$12=0,0,T52/T$12)</f>
        <v>0</v>
      </c>
      <c r="W52" s="1"/>
      <c r="X52" s="1">
        <f t="shared" ref="X52:X59" si="30">+P52-T52</f>
        <v>1914</v>
      </c>
      <c r="Y52" s="1"/>
      <c r="Z52" s="5">
        <f t="shared" ref="Z52:Z59" si="31">IF(T52=0,0,X52/T52)</f>
        <v>-2.7982456140350878</v>
      </c>
    </row>
    <row r="53" spans="1:26" s="24" customFormat="1" hidden="1" outlineLevel="2" x14ac:dyDescent="0.3">
      <c r="A53" s="27"/>
      <c r="B53" s="11" t="str">
        <f>CONCATENATE("          ", "6279", " - ", "GENERAL EXPENSE")</f>
        <v xml:space="preserve">          6279 - GENERAL EXPENSE</v>
      </c>
      <c r="C53" s="11"/>
      <c r="D53" s="7">
        <v>200.5</v>
      </c>
      <c r="E53" s="2"/>
      <c r="F53" s="8">
        <f t="shared" si="24"/>
        <v>0</v>
      </c>
      <c r="G53" s="2"/>
      <c r="H53" s="7">
        <v>-684</v>
      </c>
      <c r="I53" s="2"/>
      <c r="J53" s="8">
        <f t="shared" si="25"/>
        <v>0</v>
      </c>
      <c r="K53" s="2"/>
      <c r="L53" s="7">
        <f t="shared" si="26"/>
        <v>884.5</v>
      </c>
      <c r="M53" s="2"/>
      <c r="N53" s="8">
        <f t="shared" si="27"/>
        <v>-1.2931286549707601</v>
      </c>
      <c r="O53" s="11"/>
      <c r="P53" s="7">
        <v>1230</v>
      </c>
      <c r="Q53" s="2"/>
      <c r="R53" s="8">
        <f t="shared" si="28"/>
        <v>0</v>
      </c>
      <c r="S53" s="2"/>
      <c r="T53" s="7">
        <v>-684</v>
      </c>
      <c r="U53" s="2"/>
      <c r="V53" s="8">
        <f t="shared" si="29"/>
        <v>0</v>
      </c>
      <c r="W53" s="2"/>
      <c r="X53" s="7">
        <f t="shared" si="30"/>
        <v>1914</v>
      </c>
      <c r="Y53" s="2"/>
      <c r="Z53" s="8">
        <f t="shared" si="31"/>
        <v>-2.7982456140350878</v>
      </c>
    </row>
    <row r="54" spans="1:26" s="28" customFormat="1" outlineLevel="1" collapsed="1" x14ac:dyDescent="0.3">
      <c r="A54" s="29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SUM(OSRRefD22_10x_0)</f>
        <v>535.05999999999995</v>
      </c>
      <c r="E54" s="1"/>
      <c r="F54" s="5">
        <f t="shared" si="24"/>
        <v>0</v>
      </c>
      <c r="G54" s="1"/>
      <c r="H54" s="1">
        <f>SUM(OSRRefH22_10x_0)</f>
        <v>393.67</v>
      </c>
      <c r="I54" s="1"/>
      <c r="J54" s="5">
        <f t="shared" si="25"/>
        <v>0</v>
      </c>
      <c r="K54" s="1"/>
      <c r="L54" s="1">
        <f t="shared" si="26"/>
        <v>141.38999999999993</v>
      </c>
      <c r="M54" s="1"/>
      <c r="N54" s="5">
        <f t="shared" si="27"/>
        <v>0.35915868620926139</v>
      </c>
      <c r="O54" s="14"/>
      <c r="P54" s="1">
        <f>SUM(OSRRefP22_10x_0)</f>
        <v>1070.1199999999999</v>
      </c>
      <c r="Q54" s="1"/>
      <c r="R54" s="5">
        <f t="shared" si="28"/>
        <v>0</v>
      </c>
      <c r="S54" s="1"/>
      <c r="T54" s="1">
        <f>SUM(OSRRefT22_10x_0)</f>
        <v>787.34</v>
      </c>
      <c r="U54" s="1"/>
      <c r="V54" s="5">
        <f t="shared" si="29"/>
        <v>0</v>
      </c>
      <c r="W54" s="1"/>
      <c r="X54" s="1">
        <f t="shared" si="30"/>
        <v>282.77999999999986</v>
      </c>
      <c r="Y54" s="1"/>
      <c r="Z54" s="5">
        <f t="shared" si="31"/>
        <v>0.35915868620926139</v>
      </c>
    </row>
    <row r="55" spans="1:26" s="24" customFormat="1" hidden="1" outlineLevel="2" x14ac:dyDescent="0.3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535.05999999999995</v>
      </c>
      <c r="E55" s="2"/>
      <c r="F55" s="8">
        <f t="shared" si="24"/>
        <v>0</v>
      </c>
      <c r="G55" s="2"/>
      <c r="H55" s="7">
        <v>393.67</v>
      </c>
      <c r="I55" s="2"/>
      <c r="J55" s="8">
        <f t="shared" si="25"/>
        <v>0</v>
      </c>
      <c r="K55" s="2"/>
      <c r="L55" s="7">
        <f t="shared" si="26"/>
        <v>141.38999999999993</v>
      </c>
      <c r="M55" s="2"/>
      <c r="N55" s="8">
        <f t="shared" si="27"/>
        <v>0.35915868620926139</v>
      </c>
      <c r="O55" s="11"/>
      <c r="P55" s="7">
        <v>1070.1199999999999</v>
      </c>
      <c r="Q55" s="2"/>
      <c r="R55" s="8">
        <f t="shared" si="28"/>
        <v>0</v>
      </c>
      <c r="S55" s="2"/>
      <c r="T55" s="7">
        <v>787.34</v>
      </c>
      <c r="U55" s="2"/>
      <c r="V55" s="8">
        <f t="shared" si="29"/>
        <v>0</v>
      </c>
      <c r="W55" s="2"/>
      <c r="X55" s="7">
        <f t="shared" si="30"/>
        <v>282.77999999999986</v>
      </c>
      <c r="Y55" s="2"/>
      <c r="Z55" s="8">
        <f t="shared" si="31"/>
        <v>0.35915868620926139</v>
      </c>
    </row>
    <row r="56" spans="1:26" s="28" customFormat="1" outlineLevel="1" collapsed="1" x14ac:dyDescent="0.3">
      <c r="A56" s="29"/>
      <c r="B56" s="14" t="str">
        <f>CONCATENATE("     ","Professional Services                             ")</f>
        <v xml:space="preserve">     Professional Services                             </v>
      </c>
      <c r="C56" s="14"/>
      <c r="D56" s="1">
        <f>SUM(OSRRefD22_11x_0)</f>
        <v>10337.75</v>
      </c>
      <c r="E56" s="1"/>
      <c r="F56" s="5">
        <f t="shared" si="24"/>
        <v>0</v>
      </c>
      <c r="G56" s="1"/>
      <c r="H56" s="1">
        <f>SUM(OSRRefH22_11x_0)</f>
        <v>12982.84</v>
      </c>
      <c r="I56" s="1"/>
      <c r="J56" s="5">
        <f t="shared" si="25"/>
        <v>0</v>
      </c>
      <c r="K56" s="1"/>
      <c r="L56" s="1">
        <f t="shared" si="26"/>
        <v>-2645.09</v>
      </c>
      <c r="M56" s="1"/>
      <c r="N56" s="5">
        <f t="shared" si="27"/>
        <v>-0.2037373948997292</v>
      </c>
      <c r="O56" s="14"/>
      <c r="P56" s="1">
        <f>SUM(OSRRefP22_11x_0)</f>
        <v>15287.75</v>
      </c>
      <c r="Q56" s="1"/>
      <c r="R56" s="5">
        <f t="shared" si="28"/>
        <v>0</v>
      </c>
      <c r="S56" s="1"/>
      <c r="T56" s="1">
        <f>SUM(OSRRefT22_11x_0)</f>
        <v>14737.84</v>
      </c>
      <c r="U56" s="1"/>
      <c r="V56" s="5">
        <f t="shared" si="29"/>
        <v>0</v>
      </c>
      <c r="W56" s="1"/>
      <c r="X56" s="1">
        <f t="shared" si="30"/>
        <v>549.90999999999985</v>
      </c>
      <c r="Y56" s="1"/>
      <c r="Z56" s="5">
        <f t="shared" si="31"/>
        <v>3.7312794819322224E-2</v>
      </c>
    </row>
    <row r="57" spans="1:26" s="24" customFormat="1" hidden="1" outlineLevel="2" x14ac:dyDescent="0.3">
      <c r="A57" s="27"/>
      <c r="B57" s="11" t="str">
        <f>CONCATENATE("          ", "6331", " - ", "INDIRECT COSTS-AUXILIARY ORGAN")</f>
        <v xml:space="preserve">          6331 - INDIRECT COSTS-AUXILIARY ORGAN</v>
      </c>
      <c r="C57" s="11"/>
      <c r="D57" s="7">
        <v>10337.75</v>
      </c>
      <c r="E57" s="2"/>
      <c r="F57" s="8">
        <f t="shared" si="24"/>
        <v>0</v>
      </c>
      <c r="G57" s="2"/>
      <c r="H57" s="7">
        <v>11585.75</v>
      </c>
      <c r="I57" s="2"/>
      <c r="J57" s="8">
        <f t="shared" si="25"/>
        <v>0</v>
      </c>
      <c r="K57" s="2"/>
      <c r="L57" s="7">
        <f t="shared" si="26"/>
        <v>-1248</v>
      </c>
      <c r="M57" s="2"/>
      <c r="N57" s="8">
        <f t="shared" si="27"/>
        <v>-0.10771853354336146</v>
      </c>
      <c r="O57" s="11"/>
      <c r="P57" s="7">
        <v>10337.75</v>
      </c>
      <c r="Q57" s="2"/>
      <c r="R57" s="8">
        <f t="shared" si="28"/>
        <v>0</v>
      </c>
      <c r="S57" s="2"/>
      <c r="T57" s="7">
        <v>11585.75</v>
      </c>
      <c r="U57" s="2"/>
      <c r="V57" s="8">
        <f t="shared" si="29"/>
        <v>0</v>
      </c>
      <c r="W57" s="2"/>
      <c r="X57" s="7">
        <f t="shared" si="30"/>
        <v>-1248</v>
      </c>
      <c r="Y57" s="2"/>
      <c r="Z57" s="8">
        <f t="shared" si="31"/>
        <v>-0.10771853354336146</v>
      </c>
    </row>
    <row r="58" spans="1:26" s="24" customFormat="1" hidden="1" outlineLevel="2" x14ac:dyDescent="0.3">
      <c r="A58" s="27"/>
      <c r="B58" s="11" t="str">
        <f>CONCATENATE("          ", "6334", " - ", "LEGAL COUNCIL EXPENSE")</f>
        <v xml:space="preserve">          6334 - LEGAL COUNCIL EXPENSE</v>
      </c>
      <c r="C58" s="11"/>
      <c r="D58" s="7"/>
      <c r="E58" s="2"/>
      <c r="F58" s="8">
        <f t="shared" si="24"/>
        <v>0</v>
      </c>
      <c r="G58" s="2"/>
      <c r="H58" s="7">
        <v>1050</v>
      </c>
      <c r="I58" s="2"/>
      <c r="J58" s="8">
        <f t="shared" si="25"/>
        <v>0</v>
      </c>
      <c r="K58" s="2"/>
      <c r="L58" s="7">
        <f t="shared" si="26"/>
        <v>-1050</v>
      </c>
      <c r="M58" s="2"/>
      <c r="N58" s="8">
        <f t="shared" si="27"/>
        <v>-1</v>
      </c>
      <c r="O58" s="11"/>
      <c r="P58" s="7">
        <v>3255</v>
      </c>
      <c r="Q58" s="2"/>
      <c r="R58" s="8">
        <f t="shared" si="28"/>
        <v>0</v>
      </c>
      <c r="S58" s="2"/>
      <c r="T58" s="7">
        <v>1150</v>
      </c>
      <c r="U58" s="2"/>
      <c r="V58" s="8">
        <f t="shared" si="29"/>
        <v>0</v>
      </c>
      <c r="W58" s="2"/>
      <c r="X58" s="7">
        <f t="shared" si="30"/>
        <v>2105</v>
      </c>
      <c r="Y58" s="2"/>
      <c r="Z58" s="8">
        <f t="shared" si="31"/>
        <v>1.8304347826086957</v>
      </c>
    </row>
    <row r="59" spans="1:26" s="24" customFormat="1" hidden="1" outlineLevel="2" x14ac:dyDescent="0.3">
      <c r="A59" s="27"/>
      <c r="B59" s="11" t="str">
        <f>CONCATENATE("          ", "6336", " - ", "PROFESSIONAL SERVICES")</f>
        <v xml:space="preserve">          6336 - PROFESSIONAL SERVICES</v>
      </c>
      <c r="C59" s="11"/>
      <c r="D59" s="7"/>
      <c r="E59" s="2"/>
      <c r="F59" s="8">
        <f t="shared" si="24"/>
        <v>0</v>
      </c>
      <c r="G59" s="2"/>
      <c r="H59" s="7">
        <v>347.09</v>
      </c>
      <c r="I59" s="2"/>
      <c r="J59" s="8">
        <f t="shared" si="25"/>
        <v>0</v>
      </c>
      <c r="K59" s="2"/>
      <c r="L59" s="7">
        <f t="shared" si="26"/>
        <v>-347.09</v>
      </c>
      <c r="M59" s="2"/>
      <c r="N59" s="8">
        <f t="shared" si="27"/>
        <v>-1</v>
      </c>
      <c r="O59" s="11"/>
      <c r="P59" s="7">
        <v>1695</v>
      </c>
      <c r="Q59" s="2"/>
      <c r="R59" s="8">
        <f t="shared" si="28"/>
        <v>0</v>
      </c>
      <c r="S59" s="2"/>
      <c r="T59" s="7">
        <v>2002.09</v>
      </c>
      <c r="U59" s="2"/>
      <c r="V59" s="8">
        <f t="shared" si="29"/>
        <v>0</v>
      </c>
      <c r="W59" s="2"/>
      <c r="X59" s="7">
        <f t="shared" si="30"/>
        <v>-307.08999999999992</v>
      </c>
      <c r="Y59" s="2"/>
      <c r="Z59" s="8">
        <f t="shared" si="31"/>
        <v>-0.15338471297494116</v>
      </c>
    </row>
    <row r="60" spans="1:26" s="28" customFormat="1" outlineLevel="1" collapsed="1" x14ac:dyDescent="0.3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19209.64</v>
      </c>
      <c r="E60" s="1"/>
      <c r="F60" s="5">
        <f t="shared" ref="F60:F63" si="32">IF(D$12=0,0,D60/D$12)</f>
        <v>0</v>
      </c>
      <c r="G60" s="1"/>
      <c r="H60" s="1">
        <f>SUM(OSRRefH22_12x_0)</f>
        <v>19368.66</v>
      </c>
      <c r="I60" s="1"/>
      <c r="J60" s="5">
        <f t="shared" ref="J60:J63" si="33">IF(H$12=0,0,H60/H$12)</f>
        <v>0</v>
      </c>
      <c r="K60" s="1"/>
      <c r="L60" s="1">
        <f t="shared" ref="L60:L63" si="34">+D60-H60</f>
        <v>-159.02000000000044</v>
      </c>
      <c r="M60" s="1"/>
      <c r="N60" s="5">
        <f t="shared" ref="N60:N63" si="35">IF(H60=0,0,L60/H60)</f>
        <v>-8.2101704506145727E-3</v>
      </c>
      <c r="O60" s="14"/>
      <c r="P60" s="1">
        <f>SUM(OSRRefP22_12x_0)</f>
        <v>35943.68</v>
      </c>
      <c r="Q60" s="1"/>
      <c r="R60" s="5">
        <f t="shared" ref="R60:R63" si="36">IF(P$12=0,0,P60/P$12)</f>
        <v>0</v>
      </c>
      <c r="S60" s="1"/>
      <c r="T60" s="1">
        <f>SUM(OSRRefT22_12x_0)</f>
        <v>40175.67</v>
      </c>
      <c r="U60" s="1"/>
      <c r="V60" s="5">
        <f t="shared" ref="V60:V63" si="37">IF(T$12=0,0,T60/T$12)</f>
        <v>0</v>
      </c>
      <c r="W60" s="1"/>
      <c r="X60" s="1">
        <f t="shared" ref="X60:X63" si="38">+P60-T60</f>
        <v>-4231.989999999998</v>
      </c>
      <c r="Y60" s="1"/>
      <c r="Z60" s="5">
        <f t="shared" ref="Z60:Z63" si="39">IF(T60=0,0,X60/T60)</f>
        <v>-0.10533713563457681</v>
      </c>
    </row>
    <row r="61" spans="1:26" s="24" customFormat="1" hidden="1" outlineLevel="2" x14ac:dyDescent="0.3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7">
        <v>6794.88</v>
      </c>
      <c r="E61" s="2"/>
      <c r="F61" s="8">
        <f t="shared" si="32"/>
        <v>0</v>
      </c>
      <c r="G61" s="2"/>
      <c r="H61" s="7">
        <v>3945.66</v>
      </c>
      <c r="I61" s="2"/>
      <c r="J61" s="8">
        <f t="shared" si="33"/>
        <v>0</v>
      </c>
      <c r="K61" s="2"/>
      <c r="L61" s="7">
        <f t="shared" si="34"/>
        <v>2849.2200000000003</v>
      </c>
      <c r="M61" s="2"/>
      <c r="N61" s="8">
        <f t="shared" si="35"/>
        <v>0.72211493134228499</v>
      </c>
      <c r="O61" s="11"/>
      <c r="P61" s="7">
        <v>10578.76</v>
      </c>
      <c r="Q61" s="2"/>
      <c r="R61" s="8">
        <f t="shared" si="36"/>
        <v>0</v>
      </c>
      <c r="S61" s="2"/>
      <c r="T61" s="7">
        <v>8477.86</v>
      </c>
      <c r="U61" s="2"/>
      <c r="V61" s="8">
        <f t="shared" si="37"/>
        <v>0</v>
      </c>
      <c r="W61" s="2"/>
      <c r="X61" s="7">
        <f t="shared" si="38"/>
        <v>2100.8999999999996</v>
      </c>
      <c r="Y61" s="2"/>
      <c r="Z61" s="8">
        <f t="shared" si="39"/>
        <v>0.2478101785120301</v>
      </c>
    </row>
    <row r="62" spans="1:26" s="24" customFormat="1" hidden="1" outlineLevel="2" x14ac:dyDescent="0.3">
      <c r="A62" s="27"/>
      <c r="B62" s="11" t="str">
        <f>CONCATENATE("          ", "6373", " - ", "MAINTENANCE CONTRACTS")</f>
        <v xml:space="preserve">          6373 - MAINTENANCE CONTRACTS</v>
      </c>
      <c r="C62" s="11"/>
      <c r="D62" s="7">
        <v>10648.33</v>
      </c>
      <c r="E62" s="2"/>
      <c r="F62" s="8">
        <f t="shared" si="32"/>
        <v>0</v>
      </c>
      <c r="G62" s="2"/>
      <c r="H62" s="7">
        <v>15423</v>
      </c>
      <c r="I62" s="2"/>
      <c r="J62" s="8">
        <f t="shared" si="33"/>
        <v>0</v>
      </c>
      <c r="K62" s="2"/>
      <c r="L62" s="7">
        <f t="shared" si="34"/>
        <v>-4774.67</v>
      </c>
      <c r="M62" s="2"/>
      <c r="N62" s="8">
        <f t="shared" si="35"/>
        <v>-0.3095811450431174</v>
      </c>
      <c r="O62" s="11"/>
      <c r="P62" s="7">
        <v>23598.49</v>
      </c>
      <c r="Q62" s="2"/>
      <c r="R62" s="8">
        <f t="shared" si="36"/>
        <v>0</v>
      </c>
      <c r="S62" s="2"/>
      <c r="T62" s="7">
        <v>30878.62</v>
      </c>
      <c r="U62" s="2"/>
      <c r="V62" s="8">
        <f t="shared" si="37"/>
        <v>0</v>
      </c>
      <c r="W62" s="2"/>
      <c r="X62" s="7">
        <f t="shared" si="38"/>
        <v>-7280.1299999999974</v>
      </c>
      <c r="Y62" s="2"/>
      <c r="Z62" s="8">
        <f t="shared" si="39"/>
        <v>-0.23576604135806581</v>
      </c>
    </row>
    <row r="63" spans="1:26" s="24" customFormat="1" hidden="1" outlineLevel="2" x14ac:dyDescent="0.3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1766.43</v>
      </c>
      <c r="E63" s="2"/>
      <c r="F63" s="8">
        <f t="shared" si="32"/>
        <v>0</v>
      </c>
      <c r="G63" s="2"/>
      <c r="H63" s="7"/>
      <c r="I63" s="2"/>
      <c r="J63" s="8">
        <f t="shared" si="33"/>
        <v>0</v>
      </c>
      <c r="K63" s="2"/>
      <c r="L63" s="7">
        <f t="shared" si="34"/>
        <v>1766.43</v>
      </c>
      <c r="M63" s="2"/>
      <c r="N63" s="8">
        <f t="shared" si="35"/>
        <v>0</v>
      </c>
      <c r="O63" s="11"/>
      <c r="P63" s="7">
        <v>1766.43</v>
      </c>
      <c r="Q63" s="2"/>
      <c r="R63" s="8">
        <f t="shared" si="36"/>
        <v>0</v>
      </c>
      <c r="S63" s="2"/>
      <c r="T63" s="7">
        <v>819.19</v>
      </c>
      <c r="U63" s="2"/>
      <c r="V63" s="8">
        <f t="shared" si="37"/>
        <v>0</v>
      </c>
      <c r="W63" s="2"/>
      <c r="X63" s="7">
        <f t="shared" si="38"/>
        <v>947.24</v>
      </c>
      <c r="Y63" s="2"/>
      <c r="Z63" s="8">
        <f t="shared" si="39"/>
        <v>1.1563129432732333</v>
      </c>
    </row>
    <row r="64" spans="1:26" s="28" customFormat="1" outlineLevel="1" collapsed="1" x14ac:dyDescent="0.3">
      <c r="A64" s="29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SUM(OSRRefD22_13x_0)</f>
        <v>1367.89</v>
      </c>
      <c r="E64" s="1"/>
      <c r="F64" s="5">
        <f t="shared" ref="F64:F73" si="40">IF(D$12=0,0,D64/D$12)</f>
        <v>0</v>
      </c>
      <c r="G64" s="1"/>
      <c r="H64" s="1">
        <f>SUM(OSRRefH22_13x_0)</f>
        <v>0</v>
      </c>
      <c r="I64" s="1"/>
      <c r="J64" s="5">
        <f t="shared" ref="J64:J73" si="41">IF(H$12=0,0,H64/H$12)</f>
        <v>0</v>
      </c>
      <c r="K64" s="1"/>
      <c r="L64" s="1">
        <f t="shared" ref="L64:L73" si="42">+D64-H64</f>
        <v>1367.89</v>
      </c>
      <c r="M64" s="1"/>
      <c r="N64" s="5">
        <f t="shared" ref="N64:N73" si="43">IF(H64=0,0,L64/H64)</f>
        <v>0</v>
      </c>
      <c r="O64" s="14"/>
      <c r="P64" s="1">
        <f>SUM(OSRRefP22_13x_0)</f>
        <v>1367.89</v>
      </c>
      <c r="Q64" s="1"/>
      <c r="R64" s="5">
        <f t="shared" ref="R64:R73" si="44">IF(P$12=0,0,P64/P$12)</f>
        <v>0</v>
      </c>
      <c r="S64" s="1"/>
      <c r="T64" s="1">
        <f>SUM(OSRRefT22_13x_0)</f>
        <v>512.48</v>
      </c>
      <c r="U64" s="1"/>
      <c r="V64" s="5">
        <f t="shared" ref="V64:V73" si="45">IF(T$12=0,0,T64/T$12)</f>
        <v>0</v>
      </c>
      <c r="W64" s="1"/>
      <c r="X64" s="1">
        <f t="shared" ref="X64:X73" si="46">+P64-T64</f>
        <v>855.41000000000008</v>
      </c>
      <c r="Y64" s="1"/>
      <c r="Z64" s="5">
        <f t="shared" ref="Z64:Z73" si="47">IF(T64=0,0,X64/T64)</f>
        <v>1.6691578207930067</v>
      </c>
    </row>
    <row r="65" spans="1:26" s="24" customFormat="1" hidden="1" outlineLevel="2" x14ac:dyDescent="0.3">
      <c r="A65" s="27"/>
      <c r="B65" s="11" t="str">
        <f>CONCATENATE("          ", "6281", " - ", "STORAGE FEE")</f>
        <v xml:space="preserve">          6281 - STORAGE FEE</v>
      </c>
      <c r="C65" s="11"/>
      <c r="D65" s="7">
        <v>1367.89</v>
      </c>
      <c r="E65" s="2"/>
      <c r="F65" s="8">
        <f t="shared" si="40"/>
        <v>0</v>
      </c>
      <c r="G65" s="2"/>
      <c r="H65" s="7"/>
      <c r="I65" s="2"/>
      <c r="J65" s="8">
        <f t="shared" si="41"/>
        <v>0</v>
      </c>
      <c r="K65" s="2"/>
      <c r="L65" s="7">
        <f t="shared" si="42"/>
        <v>1367.89</v>
      </c>
      <c r="M65" s="2"/>
      <c r="N65" s="8">
        <f t="shared" si="43"/>
        <v>0</v>
      </c>
      <c r="O65" s="11"/>
      <c r="P65" s="7">
        <v>1367.89</v>
      </c>
      <c r="Q65" s="2"/>
      <c r="R65" s="8">
        <f t="shared" si="44"/>
        <v>0</v>
      </c>
      <c r="S65" s="2"/>
      <c r="T65" s="7">
        <v>512.48</v>
      </c>
      <c r="U65" s="2"/>
      <c r="V65" s="8">
        <f t="shared" si="45"/>
        <v>0</v>
      </c>
      <c r="W65" s="2"/>
      <c r="X65" s="7">
        <f t="shared" si="46"/>
        <v>855.41000000000008</v>
      </c>
      <c r="Y65" s="2"/>
      <c r="Z65" s="8">
        <f t="shared" si="47"/>
        <v>1.6691578207930067</v>
      </c>
    </row>
    <row r="66" spans="1:26" s="28" customFormat="1" outlineLevel="1" collapsed="1" x14ac:dyDescent="0.3">
      <c r="A66" s="29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SUM(OSRRefD22_14x_0)</f>
        <v>1000</v>
      </c>
      <c r="E66" s="1"/>
      <c r="F66" s="5">
        <f t="shared" si="40"/>
        <v>0</v>
      </c>
      <c r="G66" s="1"/>
      <c r="H66" s="1">
        <f>SUM(OSRRefH22_14x_0)</f>
        <v>1725</v>
      </c>
      <c r="I66" s="1"/>
      <c r="J66" s="5">
        <f t="shared" si="41"/>
        <v>0</v>
      </c>
      <c r="K66" s="1"/>
      <c r="L66" s="1">
        <f t="shared" si="42"/>
        <v>-725</v>
      </c>
      <c r="M66" s="1"/>
      <c r="N66" s="5">
        <f t="shared" si="43"/>
        <v>-0.42028985507246375</v>
      </c>
      <c r="O66" s="14"/>
      <c r="P66" s="1">
        <f>SUM(OSRRefP22_14x_0)</f>
        <v>1219</v>
      </c>
      <c r="Q66" s="1"/>
      <c r="R66" s="5">
        <f t="shared" si="44"/>
        <v>0</v>
      </c>
      <c r="S66" s="1"/>
      <c r="T66" s="1">
        <f>SUM(OSRRefT22_14x_0)</f>
        <v>1725</v>
      </c>
      <c r="U66" s="1"/>
      <c r="V66" s="5">
        <f t="shared" si="45"/>
        <v>0</v>
      </c>
      <c r="W66" s="1"/>
      <c r="X66" s="1">
        <f t="shared" si="46"/>
        <v>-506</v>
      </c>
      <c r="Y66" s="1"/>
      <c r="Z66" s="5">
        <f t="shared" si="47"/>
        <v>-0.29333333333333333</v>
      </c>
    </row>
    <row r="67" spans="1:26" s="24" customFormat="1" hidden="1" outlineLevel="2" x14ac:dyDescent="0.3">
      <c r="A67" s="27"/>
      <c r="B67" s="11" t="str">
        <f>CONCATENATE("          ", "6258", " - ", "MEMBERSHIP DUES")</f>
        <v xml:space="preserve">          6258 - MEMBERSHIP DUES</v>
      </c>
      <c r="C67" s="11"/>
      <c r="D67" s="7">
        <v>1000</v>
      </c>
      <c r="E67" s="2"/>
      <c r="F67" s="8">
        <f t="shared" si="40"/>
        <v>0</v>
      </c>
      <c r="G67" s="2"/>
      <c r="H67" s="7">
        <v>1725</v>
      </c>
      <c r="I67" s="2"/>
      <c r="J67" s="8">
        <f t="shared" si="41"/>
        <v>0</v>
      </c>
      <c r="K67" s="2"/>
      <c r="L67" s="7">
        <f t="shared" si="42"/>
        <v>-725</v>
      </c>
      <c r="M67" s="2"/>
      <c r="N67" s="8">
        <f t="shared" si="43"/>
        <v>-0.42028985507246375</v>
      </c>
      <c r="O67" s="11"/>
      <c r="P67" s="7">
        <v>1219</v>
      </c>
      <c r="Q67" s="2"/>
      <c r="R67" s="8">
        <f t="shared" si="44"/>
        <v>0</v>
      </c>
      <c r="S67" s="2"/>
      <c r="T67" s="7">
        <v>1725</v>
      </c>
      <c r="U67" s="2"/>
      <c r="V67" s="8">
        <f t="shared" si="45"/>
        <v>0</v>
      </c>
      <c r="W67" s="2"/>
      <c r="X67" s="7">
        <f t="shared" si="46"/>
        <v>-506</v>
      </c>
      <c r="Y67" s="2"/>
      <c r="Z67" s="8">
        <f t="shared" si="47"/>
        <v>-0.29333333333333333</v>
      </c>
    </row>
    <row r="68" spans="1:26" s="28" customFormat="1" outlineLevel="1" collapsed="1" x14ac:dyDescent="0.3">
      <c r="A68" s="29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SUM(OSRRefD22_15x_0)</f>
        <v>2872.79</v>
      </c>
      <c r="E68" s="1"/>
      <c r="F68" s="5">
        <f t="shared" si="40"/>
        <v>0</v>
      </c>
      <c r="G68" s="1"/>
      <c r="H68" s="1">
        <f>SUM(OSRRefH22_15x_0)</f>
        <v>584.02</v>
      </c>
      <c r="I68" s="1"/>
      <c r="J68" s="5">
        <f t="shared" si="41"/>
        <v>0</v>
      </c>
      <c r="K68" s="1"/>
      <c r="L68" s="1">
        <f t="shared" si="42"/>
        <v>2288.77</v>
      </c>
      <c r="M68" s="1"/>
      <c r="N68" s="5">
        <f t="shared" si="43"/>
        <v>3.9189925002568406</v>
      </c>
      <c r="O68" s="14"/>
      <c r="P68" s="1">
        <f>SUM(OSRRefP22_15x_0)</f>
        <v>6286.8700000000008</v>
      </c>
      <c r="Q68" s="1"/>
      <c r="R68" s="5">
        <f t="shared" si="44"/>
        <v>0</v>
      </c>
      <c r="S68" s="1"/>
      <c r="T68" s="1">
        <f>SUM(OSRRefT22_15x_0)</f>
        <v>1682.81</v>
      </c>
      <c r="U68" s="1"/>
      <c r="V68" s="5">
        <f t="shared" si="45"/>
        <v>0</v>
      </c>
      <c r="W68" s="1"/>
      <c r="X68" s="1">
        <f t="shared" si="46"/>
        <v>4604.0600000000013</v>
      </c>
      <c r="Y68" s="1"/>
      <c r="Z68" s="5">
        <f t="shared" si="47"/>
        <v>2.7359357265526123</v>
      </c>
    </row>
    <row r="69" spans="1:26" s="24" customFormat="1" hidden="1" outlineLevel="2" x14ac:dyDescent="0.3">
      <c r="A69" s="27"/>
      <c r="B69" s="11" t="str">
        <f>CONCATENATE("          ", "6234", " - ", "EXPENDABLE SUPPLIES &amp; EQUIPMEN")</f>
        <v xml:space="preserve">          6234 - EXPENDABLE SUPPLIES &amp; EQUIPMEN</v>
      </c>
      <c r="C69" s="11"/>
      <c r="D69" s="7">
        <v>26.1</v>
      </c>
      <c r="E69" s="2"/>
      <c r="F69" s="8">
        <f t="shared" si="40"/>
        <v>0</v>
      </c>
      <c r="G69" s="2"/>
      <c r="H69" s="7"/>
      <c r="I69" s="2"/>
      <c r="J69" s="8">
        <f t="shared" si="41"/>
        <v>0</v>
      </c>
      <c r="K69" s="2"/>
      <c r="L69" s="7">
        <f t="shared" si="42"/>
        <v>26.1</v>
      </c>
      <c r="M69" s="2"/>
      <c r="N69" s="8">
        <f t="shared" si="43"/>
        <v>0</v>
      </c>
      <c r="O69" s="11"/>
      <c r="P69" s="7">
        <v>26.1</v>
      </c>
      <c r="Q69" s="2"/>
      <c r="R69" s="8">
        <f t="shared" si="44"/>
        <v>0</v>
      </c>
      <c r="S69" s="2"/>
      <c r="T69" s="7"/>
      <c r="U69" s="2"/>
      <c r="V69" s="8">
        <f t="shared" si="45"/>
        <v>0</v>
      </c>
      <c r="W69" s="2"/>
      <c r="X69" s="7">
        <f t="shared" si="46"/>
        <v>26.1</v>
      </c>
      <c r="Y69" s="2"/>
      <c r="Z69" s="8">
        <f t="shared" si="47"/>
        <v>0</v>
      </c>
    </row>
    <row r="70" spans="1:26" s="24" customFormat="1" hidden="1" outlineLevel="2" x14ac:dyDescent="0.3">
      <c r="A70" s="27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8">
        <f t="shared" si="40"/>
        <v>0</v>
      </c>
      <c r="G70" s="2"/>
      <c r="H70" s="7"/>
      <c r="I70" s="2"/>
      <c r="J70" s="8">
        <f t="shared" si="41"/>
        <v>0</v>
      </c>
      <c r="K70" s="2"/>
      <c r="L70" s="7">
        <f t="shared" si="42"/>
        <v>0</v>
      </c>
      <c r="M70" s="2"/>
      <c r="N70" s="8">
        <f t="shared" si="43"/>
        <v>0</v>
      </c>
      <c r="O70" s="11"/>
      <c r="P70" s="7">
        <v>2447.77</v>
      </c>
      <c r="Q70" s="2"/>
      <c r="R70" s="8">
        <f t="shared" si="44"/>
        <v>0</v>
      </c>
      <c r="S70" s="2"/>
      <c r="T70" s="7">
        <v>744.18</v>
      </c>
      <c r="U70" s="2"/>
      <c r="V70" s="8">
        <f t="shared" si="45"/>
        <v>0</v>
      </c>
      <c r="W70" s="2"/>
      <c r="X70" s="7">
        <f t="shared" si="46"/>
        <v>1703.5900000000001</v>
      </c>
      <c r="Y70" s="2"/>
      <c r="Z70" s="8">
        <f t="shared" si="47"/>
        <v>2.2892176623935074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7">
        <v>1610</v>
      </c>
      <c r="E71" s="2"/>
      <c r="F71" s="8">
        <f t="shared" si="40"/>
        <v>0</v>
      </c>
      <c r="G71" s="2"/>
      <c r="H71" s="7">
        <v>537.98</v>
      </c>
      <c r="I71" s="2"/>
      <c r="J71" s="8">
        <f t="shared" si="41"/>
        <v>0</v>
      </c>
      <c r="K71" s="2"/>
      <c r="L71" s="7">
        <f t="shared" si="42"/>
        <v>1072.02</v>
      </c>
      <c r="M71" s="2"/>
      <c r="N71" s="8">
        <f t="shared" si="43"/>
        <v>1.99267630766943</v>
      </c>
      <c r="O71" s="11"/>
      <c r="P71" s="7">
        <v>2401.31</v>
      </c>
      <c r="Q71" s="2"/>
      <c r="R71" s="8">
        <f t="shared" si="44"/>
        <v>0</v>
      </c>
      <c r="S71" s="2"/>
      <c r="T71" s="7">
        <v>790.92</v>
      </c>
      <c r="U71" s="2"/>
      <c r="V71" s="8">
        <f t="shared" si="45"/>
        <v>0</v>
      </c>
      <c r="W71" s="2"/>
      <c r="X71" s="7">
        <f t="shared" si="46"/>
        <v>1610.3899999999999</v>
      </c>
      <c r="Y71" s="2"/>
      <c r="Z71" s="8">
        <f t="shared" si="47"/>
        <v>2.0360972032569666</v>
      </c>
    </row>
    <row r="72" spans="1:26" s="24" customFormat="1" hidden="1" outlineLevel="2" x14ac:dyDescent="0.3">
      <c r="A72" s="27"/>
      <c r="B72" s="11" t="str">
        <f>CONCATENATE("          ", "6244", " - ", "SAFETY SUPPLY EXPENSE")</f>
        <v xml:space="preserve">          6244 - SAFETY SUPPLY EXPENSE</v>
      </c>
      <c r="C72" s="11"/>
      <c r="D72" s="7">
        <v>25</v>
      </c>
      <c r="E72" s="2"/>
      <c r="F72" s="8">
        <f t="shared" si="40"/>
        <v>0</v>
      </c>
      <c r="G72" s="2"/>
      <c r="H72" s="7">
        <v>46.04</v>
      </c>
      <c r="I72" s="2"/>
      <c r="J72" s="8">
        <f t="shared" si="41"/>
        <v>0</v>
      </c>
      <c r="K72" s="2"/>
      <c r="L72" s="7">
        <f t="shared" si="42"/>
        <v>-21.04</v>
      </c>
      <c r="M72" s="2"/>
      <c r="N72" s="8">
        <f t="shared" si="43"/>
        <v>-0.4569939183318853</v>
      </c>
      <c r="O72" s="11"/>
      <c r="P72" s="7">
        <v>200</v>
      </c>
      <c r="Q72" s="2"/>
      <c r="R72" s="8">
        <f t="shared" si="44"/>
        <v>0</v>
      </c>
      <c r="S72" s="2"/>
      <c r="T72" s="7">
        <v>147.71</v>
      </c>
      <c r="U72" s="2"/>
      <c r="V72" s="8">
        <f t="shared" si="45"/>
        <v>0</v>
      </c>
      <c r="W72" s="2"/>
      <c r="X72" s="7">
        <f t="shared" si="46"/>
        <v>52.289999999999992</v>
      </c>
      <c r="Y72" s="2"/>
      <c r="Z72" s="8">
        <f t="shared" si="47"/>
        <v>0.35400446821474502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7">
        <v>1211.69</v>
      </c>
      <c r="E73" s="2"/>
      <c r="F73" s="8">
        <f t="shared" si="40"/>
        <v>0</v>
      </c>
      <c r="G73" s="2"/>
      <c r="H73" s="7"/>
      <c r="I73" s="2"/>
      <c r="J73" s="8">
        <f t="shared" si="41"/>
        <v>0</v>
      </c>
      <c r="K73" s="2"/>
      <c r="L73" s="7">
        <f t="shared" si="42"/>
        <v>1211.69</v>
      </c>
      <c r="M73" s="2"/>
      <c r="N73" s="8">
        <f t="shared" si="43"/>
        <v>0</v>
      </c>
      <c r="O73" s="11"/>
      <c r="P73" s="7">
        <v>1211.69</v>
      </c>
      <c r="Q73" s="2"/>
      <c r="R73" s="8">
        <f t="shared" si="44"/>
        <v>0</v>
      </c>
      <c r="S73" s="2"/>
      <c r="T73" s="7"/>
      <c r="U73" s="2"/>
      <c r="V73" s="8">
        <f t="shared" si="45"/>
        <v>0</v>
      </c>
      <c r="W73" s="2"/>
      <c r="X73" s="7">
        <f t="shared" si="46"/>
        <v>1211.69</v>
      </c>
      <c r="Y73" s="2"/>
      <c r="Z73" s="8">
        <f t="shared" si="47"/>
        <v>0</v>
      </c>
    </row>
    <row r="74" spans="1:26" s="28" customFormat="1" outlineLevel="1" collapsed="1" x14ac:dyDescent="0.3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SUM(OSRRefD22_16x_0)</f>
        <v>2002.23</v>
      </c>
      <c r="E74" s="1"/>
      <c r="F74" s="5">
        <f t="shared" ref="F74:F76" si="48">IF(D$12=0,0,D74/D$12)</f>
        <v>0</v>
      </c>
      <c r="G74" s="1"/>
      <c r="H74" s="1">
        <f>SUM(OSRRefH22_16x_0)</f>
        <v>2156.66</v>
      </c>
      <c r="I74" s="1"/>
      <c r="J74" s="5">
        <f t="shared" ref="J74:J76" si="49">IF(H$12=0,0,H74/H$12)</f>
        <v>0</v>
      </c>
      <c r="K74" s="1"/>
      <c r="L74" s="1">
        <f t="shared" ref="L74:L76" si="50">+D74-H74</f>
        <v>-154.42999999999984</v>
      </c>
      <c r="M74" s="1"/>
      <c r="N74" s="5">
        <f t="shared" ref="N74:N76" si="51">IF(H74=0,0,L74/H74)</f>
        <v>-7.1606094609256835E-2</v>
      </c>
      <c r="O74" s="14"/>
      <c r="P74" s="1">
        <f>SUM(OSRRefP22_16x_0)</f>
        <v>4517.57</v>
      </c>
      <c r="Q74" s="1"/>
      <c r="R74" s="5">
        <f t="shared" ref="R74:R76" si="52">IF(P$12=0,0,P74/P$12)</f>
        <v>0</v>
      </c>
      <c r="S74" s="1"/>
      <c r="T74" s="1">
        <f>SUM(OSRRefT22_16x_0)</f>
        <v>4171.09</v>
      </c>
      <c r="U74" s="1"/>
      <c r="V74" s="5">
        <f t="shared" ref="V74:V76" si="53">IF(T$12=0,0,T74/T$12)</f>
        <v>0</v>
      </c>
      <c r="W74" s="1"/>
      <c r="X74" s="1">
        <f t="shared" ref="X74:X76" si="54">+P74-T74</f>
        <v>346.47999999999956</v>
      </c>
      <c r="Y74" s="1"/>
      <c r="Z74" s="5">
        <f t="shared" ref="Z74:Z76" si="55">IF(T74=0,0,X74/T74)</f>
        <v>8.3067016055755102E-2</v>
      </c>
    </row>
    <row r="75" spans="1:26" s="24" customFormat="1" hidden="1" outlineLevel="2" x14ac:dyDescent="0.3">
      <c r="A75" s="27"/>
      <c r="B75" s="11" t="str">
        <f>CONCATENATE("          ", "6303", " - ", "DATA PHONE LINES")</f>
        <v xml:space="preserve">          6303 - DATA PHONE LINES</v>
      </c>
      <c r="C75" s="11"/>
      <c r="D75" s="7">
        <v>161.97999999999999</v>
      </c>
      <c r="E75" s="2"/>
      <c r="F75" s="8">
        <f t="shared" si="48"/>
        <v>0</v>
      </c>
      <c r="G75" s="2"/>
      <c r="H75" s="7">
        <v>78.989999999999995</v>
      </c>
      <c r="I75" s="2"/>
      <c r="J75" s="8">
        <f t="shared" si="49"/>
        <v>0</v>
      </c>
      <c r="K75" s="2"/>
      <c r="L75" s="7">
        <f t="shared" si="50"/>
        <v>82.99</v>
      </c>
      <c r="M75" s="2"/>
      <c r="N75" s="8">
        <f t="shared" si="51"/>
        <v>1.0506393214330929</v>
      </c>
      <c r="O75" s="11"/>
      <c r="P75" s="7">
        <v>323.95999999999998</v>
      </c>
      <c r="Q75" s="2"/>
      <c r="R75" s="8">
        <f t="shared" si="52"/>
        <v>0</v>
      </c>
      <c r="S75" s="2"/>
      <c r="T75" s="7">
        <v>157.97999999999999</v>
      </c>
      <c r="U75" s="2"/>
      <c r="V75" s="8">
        <f t="shared" si="53"/>
        <v>0</v>
      </c>
      <c r="W75" s="2"/>
      <c r="X75" s="7">
        <f t="shared" si="54"/>
        <v>165.98</v>
      </c>
      <c r="Y75" s="2"/>
      <c r="Z75" s="8">
        <f t="shared" si="55"/>
        <v>1.0506393214330929</v>
      </c>
    </row>
    <row r="76" spans="1:26" s="24" customFormat="1" hidden="1" outlineLevel="2" x14ac:dyDescent="0.3">
      <c r="A76" s="27"/>
      <c r="B76" s="11" t="str">
        <f>CONCATENATE("          ", "6309", " - ", "TELEPHONE")</f>
        <v xml:space="preserve">          6309 - TELEPHONE</v>
      </c>
      <c r="C76" s="11"/>
      <c r="D76" s="7">
        <v>1840.25</v>
      </c>
      <c r="E76" s="2"/>
      <c r="F76" s="8">
        <f t="shared" si="48"/>
        <v>0</v>
      </c>
      <c r="G76" s="2"/>
      <c r="H76" s="7">
        <v>2077.67</v>
      </c>
      <c r="I76" s="2"/>
      <c r="J76" s="8">
        <f t="shared" si="49"/>
        <v>0</v>
      </c>
      <c r="K76" s="2"/>
      <c r="L76" s="7">
        <f t="shared" si="50"/>
        <v>-237.42000000000007</v>
      </c>
      <c r="M76" s="2"/>
      <c r="N76" s="8">
        <f t="shared" si="51"/>
        <v>-0.11427223765083004</v>
      </c>
      <c r="O76" s="11"/>
      <c r="P76" s="7">
        <v>4193.6099999999997</v>
      </c>
      <c r="Q76" s="2"/>
      <c r="R76" s="8">
        <f t="shared" si="52"/>
        <v>0</v>
      </c>
      <c r="S76" s="2"/>
      <c r="T76" s="7">
        <v>4013.11</v>
      </c>
      <c r="U76" s="2"/>
      <c r="V76" s="8">
        <f t="shared" si="53"/>
        <v>0</v>
      </c>
      <c r="W76" s="2"/>
      <c r="X76" s="7">
        <f t="shared" si="54"/>
        <v>180.49999999999955</v>
      </c>
      <c r="Y76" s="2"/>
      <c r="Z76" s="8">
        <f t="shared" si="55"/>
        <v>4.4977585962009396E-2</v>
      </c>
    </row>
    <row r="77" spans="1:26" s="28" customFormat="1" outlineLevel="1" collapsed="1" x14ac:dyDescent="0.3">
      <c r="A77" s="29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SUM(OSRRefD22_17x_0)</f>
        <v>595</v>
      </c>
      <c r="E77" s="1"/>
      <c r="F77" s="5">
        <f t="shared" ref="F77:F80" si="56">IF(D$12=0,0,D77/D$12)</f>
        <v>0</v>
      </c>
      <c r="G77" s="1"/>
      <c r="H77" s="1">
        <f>SUM(OSRRefH22_17x_0)</f>
        <v>0</v>
      </c>
      <c r="I77" s="1"/>
      <c r="J77" s="5">
        <f t="shared" ref="J77:J80" si="57">IF(H$12=0,0,H77/H$12)</f>
        <v>0</v>
      </c>
      <c r="K77" s="1"/>
      <c r="L77" s="1">
        <f t="shared" ref="L77:L80" si="58">+D77-H77</f>
        <v>595</v>
      </c>
      <c r="M77" s="1"/>
      <c r="N77" s="5">
        <f t="shared" ref="N77:N80" si="59">IF(H77=0,0,L77/H77)</f>
        <v>0</v>
      </c>
      <c r="O77" s="14"/>
      <c r="P77" s="1">
        <f>SUM(OSRRefP22_17x_0)</f>
        <v>595</v>
      </c>
      <c r="Q77" s="1"/>
      <c r="R77" s="5">
        <f t="shared" ref="R77:R80" si="60">IF(P$12=0,0,P77/P$12)</f>
        <v>0</v>
      </c>
      <c r="S77" s="1"/>
      <c r="T77" s="1">
        <f>SUM(OSRRefT22_17x_0)</f>
        <v>0</v>
      </c>
      <c r="U77" s="1"/>
      <c r="V77" s="5">
        <f t="shared" ref="V77:V80" si="61">IF(T$12=0,0,T77/T$12)</f>
        <v>0</v>
      </c>
      <c r="W77" s="1"/>
      <c r="X77" s="1">
        <f t="shared" ref="X77:X80" si="62">+P77-T77</f>
        <v>595</v>
      </c>
      <c r="Y77" s="1"/>
      <c r="Z77" s="5">
        <f t="shared" ref="Z77:Z80" si="63">IF(T77=0,0,X77/T77)</f>
        <v>0</v>
      </c>
    </row>
    <row r="78" spans="1:26" s="24" customFormat="1" hidden="1" outlineLevel="2" x14ac:dyDescent="0.3">
      <c r="A78" s="27"/>
      <c r="B78" s="11" t="str">
        <f>CONCATENATE("          ", "6376", " - ", "TRAINING")</f>
        <v xml:space="preserve">          6376 - TRAINING</v>
      </c>
      <c r="C78" s="11"/>
      <c r="D78" s="7">
        <v>595</v>
      </c>
      <c r="E78" s="2"/>
      <c r="F78" s="8">
        <f t="shared" si="56"/>
        <v>0</v>
      </c>
      <c r="G78" s="2"/>
      <c r="H78" s="7"/>
      <c r="I78" s="2"/>
      <c r="J78" s="8">
        <f t="shared" si="57"/>
        <v>0</v>
      </c>
      <c r="K78" s="2"/>
      <c r="L78" s="7">
        <f t="shared" si="58"/>
        <v>595</v>
      </c>
      <c r="M78" s="2"/>
      <c r="N78" s="8">
        <f t="shared" si="59"/>
        <v>0</v>
      </c>
      <c r="O78" s="11"/>
      <c r="P78" s="7">
        <v>595</v>
      </c>
      <c r="Q78" s="2"/>
      <c r="R78" s="8">
        <f t="shared" si="60"/>
        <v>0</v>
      </c>
      <c r="S78" s="2"/>
      <c r="T78" s="7"/>
      <c r="U78" s="2"/>
      <c r="V78" s="8">
        <f t="shared" si="61"/>
        <v>0</v>
      </c>
      <c r="W78" s="2"/>
      <c r="X78" s="7">
        <f t="shared" si="62"/>
        <v>595</v>
      </c>
      <c r="Y78" s="2"/>
      <c r="Z78" s="8">
        <f t="shared" si="63"/>
        <v>0</v>
      </c>
    </row>
    <row r="79" spans="1:26" s="28" customFormat="1" outlineLevel="1" collapsed="1" x14ac:dyDescent="0.3">
      <c r="A79" s="29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SUM(OSRRefD22_18x_0)</f>
        <v>0</v>
      </c>
      <c r="E79" s="1"/>
      <c r="F79" s="5">
        <f t="shared" si="56"/>
        <v>0</v>
      </c>
      <c r="G79" s="1"/>
      <c r="H79" s="1">
        <f>SUM(OSRRefH22_18x_0)</f>
        <v>7.8</v>
      </c>
      <c r="I79" s="1"/>
      <c r="J79" s="5">
        <f t="shared" si="57"/>
        <v>0</v>
      </c>
      <c r="K79" s="1"/>
      <c r="L79" s="1">
        <f t="shared" si="58"/>
        <v>-7.8</v>
      </c>
      <c r="M79" s="1"/>
      <c r="N79" s="5">
        <f t="shared" si="59"/>
        <v>-1</v>
      </c>
      <c r="O79" s="14"/>
      <c r="P79" s="1">
        <f>SUM(OSRRefP22_18x_0)</f>
        <v>17.100000000000001</v>
      </c>
      <c r="Q79" s="1"/>
      <c r="R79" s="5">
        <f t="shared" si="60"/>
        <v>0</v>
      </c>
      <c r="S79" s="1"/>
      <c r="T79" s="1">
        <f>SUM(OSRRefT22_18x_0)</f>
        <v>17.55</v>
      </c>
      <c r="U79" s="1"/>
      <c r="V79" s="5">
        <f t="shared" si="61"/>
        <v>0</v>
      </c>
      <c r="W79" s="1"/>
      <c r="X79" s="1">
        <f t="shared" si="62"/>
        <v>-0.44999999999999929</v>
      </c>
      <c r="Y79" s="1"/>
      <c r="Z79" s="5">
        <f t="shared" si="63"/>
        <v>-2.5641025641025599E-2</v>
      </c>
    </row>
    <row r="80" spans="1:26" s="24" customFormat="1" hidden="1" outlineLevel="2" x14ac:dyDescent="0.3">
      <c r="A80" s="27"/>
      <c r="B80" s="11" t="str">
        <f>CONCATENATE("          ", "6294", " - ", "TRAVEL OPERATIONAL")</f>
        <v xml:space="preserve">          6294 - TRAVEL OPERATIONAL</v>
      </c>
      <c r="C80" s="11"/>
      <c r="D80" s="7"/>
      <c r="E80" s="2"/>
      <c r="F80" s="8">
        <f t="shared" si="56"/>
        <v>0</v>
      </c>
      <c r="G80" s="2"/>
      <c r="H80" s="7">
        <v>7.8</v>
      </c>
      <c r="I80" s="2"/>
      <c r="J80" s="8">
        <f t="shared" si="57"/>
        <v>0</v>
      </c>
      <c r="K80" s="2"/>
      <c r="L80" s="7">
        <f t="shared" si="58"/>
        <v>-7.8</v>
      </c>
      <c r="M80" s="2"/>
      <c r="N80" s="8">
        <f t="shared" si="59"/>
        <v>-1</v>
      </c>
      <c r="O80" s="11"/>
      <c r="P80" s="7">
        <v>17.100000000000001</v>
      </c>
      <c r="Q80" s="2"/>
      <c r="R80" s="8">
        <f t="shared" si="60"/>
        <v>0</v>
      </c>
      <c r="S80" s="2"/>
      <c r="T80" s="7">
        <v>17.55</v>
      </c>
      <c r="U80" s="2"/>
      <c r="V80" s="8">
        <f t="shared" si="61"/>
        <v>0</v>
      </c>
      <c r="W80" s="2"/>
      <c r="X80" s="7">
        <f t="shared" si="62"/>
        <v>-0.44999999999999929</v>
      </c>
      <c r="Y80" s="2"/>
      <c r="Z80" s="8">
        <f t="shared" si="63"/>
        <v>-2.5641025641025599E-2</v>
      </c>
    </row>
    <row r="81" spans="1:26" s="61" customFormat="1" x14ac:dyDescent="0.3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6" t="s">
        <v>292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6"/>
      <c r="G83" s="3"/>
      <c r="H83" s="3"/>
      <c r="I83" s="3"/>
      <c r="J83" s="6"/>
      <c r="K83" s="3"/>
      <c r="L83" s="3"/>
      <c r="M83" s="3"/>
      <c r="N83" s="6"/>
      <c r="O83" s="10"/>
      <c r="P83" s="3"/>
      <c r="Q83" s="3"/>
      <c r="R83" s="6"/>
      <c r="S83" s="3"/>
      <c r="T83" s="3"/>
      <c r="U83" s="3"/>
      <c r="V83" s="6"/>
      <c r="W83" s="3"/>
      <c r="X83" s="3"/>
      <c r="Y83" s="3"/>
      <c r="Z83" s="6"/>
    </row>
    <row r="84" spans="1:26" s="23" customFormat="1" x14ac:dyDescent="0.3">
      <c r="A84" s="10"/>
      <c r="B84" s="25" t="s">
        <v>276</v>
      </c>
      <c r="C84" s="25"/>
      <c r="D84" s="20">
        <f>+D16-D18+D82</f>
        <v>-214290.75</v>
      </c>
      <c r="E84" s="13"/>
      <c r="F84" s="22">
        <f>IF(D$12=0,0,D84/D$12)</f>
        <v>0</v>
      </c>
      <c r="G84" s="13"/>
      <c r="H84" s="20">
        <f>+H16-H18+H82</f>
        <v>-219113.02000000002</v>
      </c>
      <c r="I84" s="13"/>
      <c r="J84" s="22">
        <f>IF(H$12=0,0,H84/H$12)</f>
        <v>0</v>
      </c>
      <c r="K84" s="15"/>
      <c r="L84" s="20">
        <f>+D84-H84</f>
        <v>4822.2700000000186</v>
      </c>
      <c r="M84" s="15"/>
      <c r="N84" s="22">
        <f>IF(H84=0,0,L84/H84)</f>
        <v>-2.2008139908801485E-2</v>
      </c>
      <c r="O84" s="26"/>
      <c r="P84" s="20">
        <f>+P16-P18+P82</f>
        <v>-447205.60999999993</v>
      </c>
      <c r="Q84" s="13"/>
      <c r="R84" s="22">
        <f>IF(P$12=0,0,P84/P$12)</f>
        <v>0</v>
      </c>
      <c r="S84" s="13"/>
      <c r="T84" s="20">
        <f>+T16-T18+T82</f>
        <v>-453816.25999999989</v>
      </c>
      <c r="U84" s="13"/>
      <c r="V84" s="22">
        <f>IF(T$12=0,0,T84/T$12)</f>
        <v>0</v>
      </c>
      <c r="W84" s="15"/>
      <c r="X84" s="20">
        <f>+P84-T84</f>
        <v>6610.6499999999651</v>
      </c>
      <c r="Y84" s="15"/>
      <c r="Z84" s="22">
        <f>IF(T84=0,0,X84/T84)</f>
        <v>-1.4566798465969392E-2</v>
      </c>
    </row>
    <row r="85" spans="1:26" x14ac:dyDescent="0.3">
      <c r="A85" s="9"/>
      <c r="B85" s="10"/>
      <c r="C85" s="9"/>
      <c r="D85" s="3"/>
      <c r="E85" s="3"/>
      <c r="F85" s="6"/>
      <c r="G85" s="3"/>
      <c r="H85" s="3"/>
      <c r="I85" s="3"/>
      <c r="J85" s="6"/>
      <c r="K85" s="3"/>
      <c r="L85" s="3"/>
      <c r="M85" s="3"/>
      <c r="N85" s="6"/>
      <c r="P85" s="3"/>
      <c r="Q85" s="3"/>
      <c r="R85" s="6"/>
      <c r="S85" s="3"/>
      <c r="T85" s="3"/>
      <c r="U85" s="3"/>
      <c r="V85" s="6"/>
      <c r="W85" s="3"/>
      <c r="X85" s="3"/>
      <c r="Y85" s="3"/>
      <c r="Z85" s="6"/>
    </row>
    <row r="86" spans="1:26" s="23" customFormat="1" x14ac:dyDescent="0.3">
      <c r="A86" s="51"/>
      <c r="B86" s="10" t="s">
        <v>127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6"/>
      <c r="G87" s="3"/>
      <c r="H87" s="3"/>
      <c r="I87" s="3"/>
      <c r="J87" s="6"/>
      <c r="K87" s="3"/>
      <c r="L87" s="3"/>
      <c r="M87" s="3"/>
      <c r="N87" s="6"/>
      <c r="O87" s="10"/>
      <c r="P87" s="3"/>
      <c r="Q87" s="3"/>
      <c r="R87" s="6"/>
      <c r="S87" s="3"/>
      <c r="T87" s="3"/>
      <c r="U87" s="3"/>
      <c r="V87" s="6"/>
      <c r="W87" s="3"/>
      <c r="X87" s="3"/>
      <c r="Y87" s="3"/>
      <c r="Z87" s="6"/>
    </row>
    <row r="88" spans="1:26" s="23" customFormat="1" ht="15" thickBot="1" x14ac:dyDescent="0.35">
      <c r="A88" s="10"/>
      <c r="B88" s="25" t="s">
        <v>125</v>
      </c>
      <c r="C88" s="25"/>
      <c r="D88" s="33">
        <f>+D84-D86</f>
        <v>-214290.75</v>
      </c>
      <c r="E88" s="13"/>
      <c r="F88" s="36">
        <f>IF(D$12=0,0,D88/D$12)</f>
        <v>0</v>
      </c>
      <c r="G88" s="13"/>
      <c r="H88" s="33">
        <f>+H84-H86</f>
        <v>-219113.02000000002</v>
      </c>
      <c r="I88" s="13"/>
      <c r="J88" s="36">
        <f>IF(H$12=0,0,H88/H$12)</f>
        <v>0</v>
      </c>
      <c r="K88" s="15"/>
      <c r="L88" s="33">
        <f>D88-H88</f>
        <v>4822.2700000000186</v>
      </c>
      <c r="M88" s="15"/>
      <c r="N88" s="36">
        <f>IF(H88=0,0,L88/H88)</f>
        <v>-2.2008139908801485E-2</v>
      </c>
      <c r="O88" s="26"/>
      <c r="P88" s="33">
        <f>+P84-P86</f>
        <v>-447205.60999999993</v>
      </c>
      <c r="Q88" s="13"/>
      <c r="R88" s="36">
        <f>IF(P$12=0,0,P88/P$12)</f>
        <v>0</v>
      </c>
      <c r="S88" s="13"/>
      <c r="T88" s="33">
        <f>+T84-T86</f>
        <v>-453816.25999999989</v>
      </c>
      <c r="U88" s="13"/>
      <c r="V88" s="36">
        <f>IF(T$12=0,0,T88/T$12)</f>
        <v>0</v>
      </c>
      <c r="W88" s="15"/>
      <c r="X88" s="33">
        <f>P88-T88</f>
        <v>6610.6499999999651</v>
      </c>
      <c r="Y88" s="15"/>
      <c r="Z88" s="36">
        <f>IF(T88=0,0,X88/T88)</f>
        <v>-1.4566798465969392E-2</v>
      </c>
    </row>
    <row r="89" spans="1:26" ht="15" thickTop="1" x14ac:dyDescent="0.3">
      <c r="A89" s="9"/>
      <c r="B89" s="9"/>
      <c r="C89" s="9"/>
      <c r="D89" s="3"/>
      <c r="E89" s="3"/>
      <c r="F89" s="6"/>
      <c r="G89" s="3"/>
      <c r="H89" s="3"/>
      <c r="I89" s="3"/>
      <c r="J89" s="6"/>
      <c r="K89" s="3"/>
      <c r="L89" s="3"/>
      <c r="M89" s="3"/>
      <c r="N89" s="6"/>
      <c r="P89" s="3"/>
      <c r="Q89" s="3"/>
      <c r="R89" s="6"/>
      <c r="S89" s="3"/>
      <c r="T89" s="3"/>
      <c r="U89" s="3"/>
      <c r="V89" s="6"/>
      <c r="W89" s="3"/>
      <c r="X89" s="3"/>
      <c r="Y89" s="3"/>
      <c r="Z89" s="6"/>
    </row>
    <row r="90" spans="1:26" x14ac:dyDescent="0.3">
      <c r="A90" s="9"/>
      <c r="B90" s="9"/>
      <c r="C90" s="9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ht="15" thickBot="1" x14ac:dyDescent="0.35">
      <c r="A91" s="10"/>
      <c r="B91" s="25" t="s">
        <v>293</v>
      </c>
      <c r="C91" s="25"/>
      <c r="D91" s="30">
        <f>SUM(D88:D90)</f>
        <v>-214290.75</v>
      </c>
      <c r="E91" s="13"/>
      <c r="F91" s="31">
        <f>IF(D$12=0,0,D91/D$12)</f>
        <v>0</v>
      </c>
      <c r="G91" s="13"/>
      <c r="H91" s="30">
        <f>SUM(H88:H90)</f>
        <v>-219113.02000000002</v>
      </c>
      <c r="I91" s="13"/>
      <c r="J91" s="31">
        <f>IF(H$12=0,0,H91/H$12)</f>
        <v>0</v>
      </c>
      <c r="K91" s="15"/>
      <c r="L91" s="30">
        <f>+D91-H91</f>
        <v>4822.2700000000186</v>
      </c>
      <c r="M91" s="15"/>
      <c r="N91" s="31">
        <f>IF(H91=0,0,L91/H91)</f>
        <v>-2.2008139908801485E-2</v>
      </c>
      <c r="O91" s="26"/>
      <c r="P91" s="30">
        <f>SUM(P88:P90)</f>
        <v>-447205.60999999993</v>
      </c>
      <c r="Q91" s="13"/>
      <c r="R91" s="31">
        <f>IF(P$12=0,0,P91/P$12)</f>
        <v>0</v>
      </c>
      <c r="S91" s="13"/>
      <c r="T91" s="30">
        <f>SUM(T88:T90)</f>
        <v>-453816.25999999989</v>
      </c>
      <c r="U91" s="13"/>
      <c r="V91" s="31">
        <f>IF(T$12=0,0,T91/T$12)</f>
        <v>0</v>
      </c>
      <c r="W91" s="15"/>
      <c r="X91" s="30">
        <f>+P91-T91</f>
        <v>6610.6499999999651</v>
      </c>
      <c r="Y91" s="15"/>
      <c r="Z91" s="31">
        <f>IF(T91=0,0,X91/T91)</f>
        <v>-1.4566798465969392E-2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59">
        <v>44470.840475844911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A94" s="9"/>
      <c r="B94" s="58" t="s">
        <v>56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A95" s="9"/>
      <c r="B95" s="52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3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","200", " - ", "Corporate Expense")</f>
        <v>Department 200 - Corporate Expense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38380.83</v>
      </c>
      <c r="E18" s="21"/>
      <c r="F18" s="32">
        <f t="shared" ref="F18:F26" si="0">IF(D$12=0,0,D18/D$12)</f>
        <v>0</v>
      </c>
      <c r="G18" s="21"/>
      <c r="H18" s="21">
        <f>SUM(OSRRefH22x_0)</f>
        <v>46373.01</v>
      </c>
      <c r="I18" s="21"/>
      <c r="J18" s="32">
        <f t="shared" ref="J18:J26" si="1">IF(H$12=0,0,H18/H$12)</f>
        <v>0</v>
      </c>
      <c r="K18" s="4"/>
      <c r="L18" s="21">
        <f t="shared" ref="L18:L26" si="2">+D18-H18</f>
        <v>-7992.18</v>
      </c>
      <c r="M18" s="4"/>
      <c r="N18" s="32">
        <f t="shared" ref="N18:N26" si="3">IF(H18=0,0,L18/H18)</f>
        <v>-0.1723455087344988</v>
      </c>
      <c r="O18" s="10"/>
      <c r="P18" s="21">
        <f>SUM(OSRRefP22x_0)</f>
        <v>68704.490000000005</v>
      </c>
      <c r="Q18" s="21"/>
      <c r="R18" s="32">
        <f t="shared" ref="R18:R26" si="4">IF(P$12=0,0,P18/P$12)</f>
        <v>0</v>
      </c>
      <c r="S18" s="21"/>
      <c r="T18" s="21">
        <f>SUM(OSRRefT22x_0)</f>
        <v>78329.87</v>
      </c>
      <c r="U18" s="21"/>
      <c r="V18" s="32">
        <f t="shared" ref="V18:V26" si="5">IF(T$12=0,0,T18/T$12)</f>
        <v>0</v>
      </c>
      <c r="W18" s="4"/>
      <c r="X18" s="21">
        <f t="shared" ref="X18:X26" si="6">+P18-T18</f>
        <v>-9625.3799999999901</v>
      </c>
      <c r="Y18" s="4"/>
      <c r="Z18" s="32">
        <f t="shared" ref="Z18:Z26" si="7">IF(T18=0,0,X18/T18)</f>
        <v>-0.12288262447007751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26975.06</v>
      </c>
      <c r="E19" s="1"/>
      <c r="F19" s="5">
        <f t="shared" si="0"/>
        <v>0</v>
      </c>
      <c r="G19" s="1"/>
      <c r="H19" s="1">
        <f>SUM(OSRRefH22_0x_0)</f>
        <v>30426.25</v>
      </c>
      <c r="I19" s="1"/>
      <c r="J19" s="5">
        <f t="shared" si="1"/>
        <v>0</v>
      </c>
      <c r="K19" s="1"/>
      <c r="L19" s="1">
        <f t="shared" si="2"/>
        <v>-3451.1899999999987</v>
      </c>
      <c r="M19" s="1"/>
      <c r="N19" s="5">
        <f t="shared" si="3"/>
        <v>-0.11342804321925964</v>
      </c>
      <c r="O19" s="14"/>
      <c r="P19" s="1">
        <f>SUM(OSRRefP22_0x_0)</f>
        <v>54111.12</v>
      </c>
      <c r="Q19" s="1"/>
      <c r="R19" s="5">
        <f t="shared" si="4"/>
        <v>0</v>
      </c>
      <c r="S19" s="1"/>
      <c r="T19" s="1">
        <f>SUM(OSRRefT22_0x_0)</f>
        <v>60675.34</v>
      </c>
      <c r="U19" s="1"/>
      <c r="V19" s="5">
        <f t="shared" si="5"/>
        <v>0</v>
      </c>
      <c r="W19" s="1"/>
      <c r="X19" s="1">
        <f t="shared" si="6"/>
        <v>-6564.2199999999939</v>
      </c>
      <c r="Y19" s="1"/>
      <c r="Z19" s="5">
        <f t="shared" si="7"/>
        <v>-0.10818596154549763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7">
        <v>26975.06</v>
      </c>
      <c r="E20" s="2"/>
      <c r="F20" s="8">
        <f t="shared" si="0"/>
        <v>0</v>
      </c>
      <c r="G20" s="2"/>
      <c r="H20" s="7">
        <v>30426.25</v>
      </c>
      <c r="I20" s="2"/>
      <c r="J20" s="8">
        <f t="shared" si="1"/>
        <v>0</v>
      </c>
      <c r="K20" s="2"/>
      <c r="L20" s="7">
        <f t="shared" si="2"/>
        <v>-3451.1899999999987</v>
      </c>
      <c r="M20" s="2"/>
      <c r="N20" s="8">
        <f t="shared" si="3"/>
        <v>-0.11342804321925964</v>
      </c>
      <c r="O20" s="11"/>
      <c r="P20" s="7">
        <v>54111.12</v>
      </c>
      <c r="Q20" s="2"/>
      <c r="R20" s="8">
        <f t="shared" si="4"/>
        <v>0</v>
      </c>
      <c r="S20" s="2"/>
      <c r="T20" s="7">
        <v>60675.34</v>
      </c>
      <c r="U20" s="2"/>
      <c r="V20" s="8">
        <f t="shared" si="5"/>
        <v>0</v>
      </c>
      <c r="W20" s="2"/>
      <c r="X20" s="7">
        <f t="shared" si="6"/>
        <v>-6564.2199999999939</v>
      </c>
      <c r="Y20" s="2"/>
      <c r="Z20" s="8">
        <f t="shared" si="7"/>
        <v>-0.10818596154549763</v>
      </c>
    </row>
    <row r="21" spans="1:26" s="28" customFormat="1" outlineLevel="1" collapsed="1" x14ac:dyDescent="0.3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7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2356.86</v>
      </c>
      <c r="Q21" s="1"/>
      <c r="R21" s="5">
        <f t="shared" si="4"/>
        <v>0</v>
      </c>
      <c r="S21" s="1"/>
      <c r="T21" s="1">
        <f>SUM(OSRRefT22_1x_0)</f>
        <v>930.98</v>
      </c>
      <c r="U21" s="1"/>
      <c r="V21" s="5">
        <f t="shared" si="5"/>
        <v>0</v>
      </c>
      <c r="W21" s="1"/>
      <c r="X21" s="1">
        <f t="shared" si="6"/>
        <v>1425.88</v>
      </c>
      <c r="Y21" s="1"/>
      <c r="Z21" s="5">
        <f t="shared" si="7"/>
        <v>1.5315903671400031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8">
        <f t="shared" si="0"/>
        <v>0</v>
      </c>
      <c r="G22" s="2"/>
      <c r="H22" s="7">
        <v>7</v>
      </c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>
        <v>2356.86</v>
      </c>
      <c r="Q22" s="2"/>
      <c r="R22" s="8">
        <f t="shared" si="4"/>
        <v>0</v>
      </c>
      <c r="S22" s="2"/>
      <c r="T22" s="7">
        <v>930.98</v>
      </c>
      <c r="U22" s="2"/>
      <c r="V22" s="8">
        <f t="shared" si="5"/>
        <v>0</v>
      </c>
      <c r="W22" s="2"/>
      <c r="X22" s="7">
        <f t="shared" si="6"/>
        <v>1425.88</v>
      </c>
      <c r="Y22" s="2"/>
      <c r="Z22" s="8">
        <f t="shared" si="7"/>
        <v>1.5315903671400031</v>
      </c>
    </row>
    <row r="23" spans="1:26" s="28" customFormat="1" outlineLevel="1" collapsed="1" x14ac:dyDescent="0.3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1061.02</v>
      </c>
      <c r="E23" s="1"/>
      <c r="F23" s="5">
        <f t="shared" si="0"/>
        <v>0</v>
      </c>
      <c r="G23" s="1"/>
      <c r="H23" s="1">
        <f>SUM(OSRRefH22_2x_0)</f>
        <v>4354.01</v>
      </c>
      <c r="I23" s="1"/>
      <c r="J23" s="5">
        <f t="shared" si="1"/>
        <v>0</v>
      </c>
      <c r="K23" s="1"/>
      <c r="L23" s="1">
        <f t="shared" si="2"/>
        <v>-3292.9900000000002</v>
      </c>
      <c r="M23" s="1"/>
      <c r="N23" s="5">
        <f t="shared" si="3"/>
        <v>-0.7563119974460325</v>
      </c>
      <c r="O23" s="14"/>
      <c r="P23" s="1">
        <f>SUM(OSRRefP22_2x_0)</f>
        <v>1898.76</v>
      </c>
      <c r="Q23" s="1"/>
      <c r="R23" s="5">
        <f t="shared" si="4"/>
        <v>0</v>
      </c>
      <c r="S23" s="1"/>
      <c r="T23" s="1">
        <f>SUM(OSRRefT22_2x_0)</f>
        <v>5137.8</v>
      </c>
      <c r="U23" s="1"/>
      <c r="V23" s="5">
        <f t="shared" si="5"/>
        <v>0</v>
      </c>
      <c r="W23" s="1"/>
      <c r="X23" s="1">
        <f t="shared" si="6"/>
        <v>-3239.04</v>
      </c>
      <c r="Y23" s="1"/>
      <c r="Z23" s="5">
        <f t="shared" si="7"/>
        <v>-0.63043325937171546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7">
        <v>1061.02</v>
      </c>
      <c r="E24" s="2"/>
      <c r="F24" s="8">
        <f t="shared" si="0"/>
        <v>0</v>
      </c>
      <c r="G24" s="2"/>
      <c r="H24" s="7">
        <v>4354.01</v>
      </c>
      <c r="I24" s="2"/>
      <c r="J24" s="8">
        <f t="shared" si="1"/>
        <v>0</v>
      </c>
      <c r="K24" s="2"/>
      <c r="L24" s="7">
        <f t="shared" si="2"/>
        <v>-3292.9900000000002</v>
      </c>
      <c r="M24" s="2"/>
      <c r="N24" s="8">
        <f t="shared" si="3"/>
        <v>-0.7563119974460325</v>
      </c>
      <c r="O24" s="11"/>
      <c r="P24" s="7">
        <v>1898.76</v>
      </c>
      <c r="Q24" s="2"/>
      <c r="R24" s="8">
        <f t="shared" si="4"/>
        <v>0</v>
      </c>
      <c r="S24" s="2"/>
      <c r="T24" s="7">
        <v>5137.8</v>
      </c>
      <c r="U24" s="2"/>
      <c r="V24" s="8">
        <f t="shared" si="5"/>
        <v>0</v>
      </c>
      <c r="W24" s="2"/>
      <c r="X24" s="7">
        <f t="shared" si="6"/>
        <v>-3239.04</v>
      </c>
      <c r="Y24" s="2"/>
      <c r="Z24" s="8">
        <f t="shared" si="7"/>
        <v>-0.63043325937171546</v>
      </c>
    </row>
    <row r="25" spans="1:26" s="28" customFormat="1" outlineLevel="1" collapsed="1" x14ac:dyDescent="0.3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10337.75</v>
      </c>
      <c r="E25" s="1"/>
      <c r="F25" s="5">
        <f t="shared" si="0"/>
        <v>0</v>
      </c>
      <c r="G25" s="1"/>
      <c r="H25" s="1">
        <f>SUM(OSRRefH22_3x_0)</f>
        <v>11585.75</v>
      </c>
      <c r="I25" s="1"/>
      <c r="J25" s="5">
        <f t="shared" si="1"/>
        <v>0</v>
      </c>
      <c r="K25" s="1"/>
      <c r="L25" s="1">
        <f t="shared" si="2"/>
        <v>-1248</v>
      </c>
      <c r="M25" s="1"/>
      <c r="N25" s="5">
        <f t="shared" si="3"/>
        <v>-0.10771853354336146</v>
      </c>
      <c r="O25" s="14"/>
      <c r="P25" s="1">
        <f>SUM(OSRRefP22_3x_0)</f>
        <v>10337.75</v>
      </c>
      <c r="Q25" s="1"/>
      <c r="R25" s="5">
        <f t="shared" si="4"/>
        <v>0</v>
      </c>
      <c r="S25" s="1"/>
      <c r="T25" s="1">
        <f>SUM(OSRRefT22_3x_0)</f>
        <v>11585.75</v>
      </c>
      <c r="U25" s="1"/>
      <c r="V25" s="5">
        <f t="shared" si="5"/>
        <v>0</v>
      </c>
      <c r="W25" s="1"/>
      <c r="X25" s="1">
        <f t="shared" si="6"/>
        <v>-1248</v>
      </c>
      <c r="Y25" s="1"/>
      <c r="Z25" s="5">
        <f t="shared" si="7"/>
        <v>-0.10771853354336146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10337.75</v>
      </c>
      <c r="E26" s="2"/>
      <c r="F26" s="8">
        <f t="shared" si="0"/>
        <v>0</v>
      </c>
      <c r="G26" s="2"/>
      <c r="H26" s="7">
        <v>11585.75</v>
      </c>
      <c r="I26" s="2"/>
      <c r="J26" s="8">
        <f t="shared" si="1"/>
        <v>0</v>
      </c>
      <c r="K26" s="2"/>
      <c r="L26" s="7">
        <f t="shared" si="2"/>
        <v>-1248</v>
      </c>
      <c r="M26" s="2"/>
      <c r="N26" s="8">
        <f t="shared" si="3"/>
        <v>-0.10771853354336146</v>
      </c>
      <c r="O26" s="11"/>
      <c r="P26" s="7">
        <v>10337.75</v>
      </c>
      <c r="Q26" s="2"/>
      <c r="R26" s="8">
        <f t="shared" si="4"/>
        <v>0</v>
      </c>
      <c r="S26" s="2"/>
      <c r="T26" s="7">
        <v>11585.75</v>
      </c>
      <c r="U26" s="2"/>
      <c r="V26" s="8">
        <f t="shared" si="5"/>
        <v>0</v>
      </c>
      <c r="W26" s="2"/>
      <c r="X26" s="7">
        <f t="shared" si="6"/>
        <v>-1248</v>
      </c>
      <c r="Y26" s="2"/>
      <c r="Z26" s="8">
        <f t="shared" si="7"/>
        <v>-0.10771853354336146</v>
      </c>
    </row>
    <row r="27" spans="1:26" s="61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6"/>
      <c r="G29" s="3"/>
      <c r="H29" s="3"/>
      <c r="I29" s="3"/>
      <c r="J29" s="6"/>
      <c r="K29" s="3"/>
      <c r="L29" s="3"/>
      <c r="M29" s="3"/>
      <c r="N29" s="6"/>
      <c r="O29" s="10"/>
      <c r="P29" s="3"/>
      <c r="Q29" s="3"/>
      <c r="R29" s="6"/>
      <c r="S29" s="3"/>
      <c r="T29" s="3"/>
      <c r="U29" s="3"/>
      <c r="V29" s="6"/>
      <c r="W29" s="3"/>
      <c r="X29" s="3"/>
      <c r="Y29" s="3"/>
      <c r="Z29" s="6"/>
    </row>
    <row r="30" spans="1:26" s="23" customFormat="1" x14ac:dyDescent="0.3">
      <c r="A30" s="10"/>
      <c r="B30" s="25" t="s">
        <v>276</v>
      </c>
      <c r="C30" s="25"/>
      <c r="D30" s="20">
        <f>+D16-D18+D28</f>
        <v>-38380.83</v>
      </c>
      <c r="E30" s="13"/>
      <c r="F30" s="22">
        <f>IF(D$12=0,0,D30/D$12)</f>
        <v>0</v>
      </c>
      <c r="G30" s="13"/>
      <c r="H30" s="20">
        <f>+H16-H18+H28</f>
        <v>-46373.01</v>
      </c>
      <c r="I30" s="13"/>
      <c r="J30" s="22">
        <f>IF(H$12=0,0,H30/H$12)</f>
        <v>0</v>
      </c>
      <c r="K30" s="15"/>
      <c r="L30" s="20">
        <f>+D30-H30</f>
        <v>7992.18</v>
      </c>
      <c r="M30" s="15"/>
      <c r="N30" s="22">
        <f>IF(H30=0,0,L30/H30)</f>
        <v>-0.1723455087344988</v>
      </c>
      <c r="O30" s="26"/>
      <c r="P30" s="20">
        <f>+P16-P18+P28</f>
        <v>-68704.490000000005</v>
      </c>
      <c r="Q30" s="13"/>
      <c r="R30" s="22">
        <f>IF(P$12=0,0,P30/P$12)</f>
        <v>0</v>
      </c>
      <c r="S30" s="13"/>
      <c r="T30" s="20">
        <f>+T16-T18+T28</f>
        <v>-78329.87</v>
      </c>
      <c r="U30" s="13"/>
      <c r="V30" s="22">
        <f>IF(T$12=0,0,T30/T$12)</f>
        <v>0</v>
      </c>
      <c r="W30" s="15"/>
      <c r="X30" s="20">
        <f>+P30-T30</f>
        <v>9625.3799999999901</v>
      </c>
      <c r="Y30" s="15"/>
      <c r="Z30" s="22">
        <f>IF(T30=0,0,X30/T30)</f>
        <v>-0.12288262447007751</v>
      </c>
    </row>
    <row r="31" spans="1:26" x14ac:dyDescent="0.3">
      <c r="A31" s="9"/>
      <c r="B31" s="10"/>
      <c r="C31" s="9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O33" s="10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ht="15" thickBot="1" x14ac:dyDescent="0.35">
      <c r="A34" s="10"/>
      <c r="B34" s="25" t="s">
        <v>125</v>
      </c>
      <c r="C34" s="25"/>
      <c r="D34" s="33">
        <f>+D30-D32</f>
        <v>-38380.83</v>
      </c>
      <c r="E34" s="13"/>
      <c r="F34" s="36">
        <f>IF(D$12=0,0,D34/D$12)</f>
        <v>0</v>
      </c>
      <c r="G34" s="13"/>
      <c r="H34" s="33">
        <f>+H30-H32</f>
        <v>-46373.01</v>
      </c>
      <c r="I34" s="13"/>
      <c r="J34" s="36">
        <f>IF(H$12=0,0,H34/H$12)</f>
        <v>0</v>
      </c>
      <c r="K34" s="15"/>
      <c r="L34" s="33">
        <f>D34-H34</f>
        <v>7992.18</v>
      </c>
      <c r="M34" s="15"/>
      <c r="N34" s="36">
        <f>IF(H34=0,0,L34/H34)</f>
        <v>-0.1723455087344988</v>
      </c>
      <c r="O34" s="26"/>
      <c r="P34" s="33">
        <f>+P30-P32</f>
        <v>-68704.490000000005</v>
      </c>
      <c r="Q34" s="13"/>
      <c r="R34" s="36">
        <f>IF(P$12=0,0,P34/P$12)</f>
        <v>0</v>
      </c>
      <c r="S34" s="13"/>
      <c r="T34" s="33">
        <f>+T30-T32</f>
        <v>-78329.87</v>
      </c>
      <c r="U34" s="13"/>
      <c r="V34" s="36">
        <f>IF(T$12=0,0,T34/T$12)</f>
        <v>0</v>
      </c>
      <c r="W34" s="15"/>
      <c r="X34" s="33">
        <f>P34-T34</f>
        <v>9625.3799999999901</v>
      </c>
      <c r="Y34" s="15"/>
      <c r="Z34" s="36">
        <f>IF(T34=0,0,X34/T34)</f>
        <v>-0.12288262447007751</v>
      </c>
    </row>
    <row r="35" spans="1:26" ht="15" thickTop="1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x14ac:dyDescent="0.3">
      <c r="A36" s="9"/>
      <c r="B36" s="9"/>
      <c r="C36" s="9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s="23" customFormat="1" ht="15" thickBot="1" x14ac:dyDescent="0.35">
      <c r="A37" s="10"/>
      <c r="B37" s="25" t="s">
        <v>293</v>
      </c>
      <c r="C37" s="25"/>
      <c r="D37" s="30">
        <f>SUM(D34:D36)</f>
        <v>-38380.83</v>
      </c>
      <c r="E37" s="13"/>
      <c r="F37" s="31">
        <f>IF(D$12=0,0,D37/D$12)</f>
        <v>0</v>
      </c>
      <c r="G37" s="13"/>
      <c r="H37" s="30">
        <f>SUM(H34:H36)</f>
        <v>-46373.01</v>
      </c>
      <c r="I37" s="13"/>
      <c r="J37" s="31">
        <f>IF(H$12=0,0,H37/H$12)</f>
        <v>0</v>
      </c>
      <c r="K37" s="15"/>
      <c r="L37" s="30">
        <f>+D37-H37</f>
        <v>7992.18</v>
      </c>
      <c r="M37" s="15"/>
      <c r="N37" s="31">
        <f>IF(H37=0,0,L37/H37)</f>
        <v>-0.1723455087344988</v>
      </c>
      <c r="O37" s="26"/>
      <c r="P37" s="30">
        <f>SUM(P34:P36)</f>
        <v>-68704.490000000005</v>
      </c>
      <c r="Q37" s="13"/>
      <c r="R37" s="31">
        <f>IF(P$12=0,0,P37/P$12)</f>
        <v>0</v>
      </c>
      <c r="S37" s="13"/>
      <c r="T37" s="30">
        <f>SUM(T34:T36)</f>
        <v>-78329.87</v>
      </c>
      <c r="U37" s="13"/>
      <c r="V37" s="31">
        <f>IF(T$12=0,0,T37/T$12)</f>
        <v>0</v>
      </c>
      <c r="W37" s="15"/>
      <c r="X37" s="30">
        <f>+P37-T37</f>
        <v>9625.3799999999901</v>
      </c>
      <c r="Y37" s="15"/>
      <c r="Z37" s="31">
        <f>IF(T37=0,0,X37/T37)</f>
        <v>-0.12288262447007751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9">
        <v>44470.840542939812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 t="s">
        <v>56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2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","201", " - ", "General Manager")</f>
        <v>Department 201 - General Manager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28505.440000000002</v>
      </c>
      <c r="E18" s="21"/>
      <c r="F18" s="32">
        <f t="shared" ref="F18:F27" si="0">IF(D$12=0,0,D18/D$12)</f>
        <v>0</v>
      </c>
      <c r="G18" s="21"/>
      <c r="H18" s="21">
        <f>SUM(OSRRefH22x_0)</f>
        <v>31265.519999999997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-2760.0799999999945</v>
      </c>
      <c r="M18" s="4"/>
      <c r="N18" s="32">
        <f t="shared" ref="N18:N27" si="3">IF(H18=0,0,L18/H18)</f>
        <v>-8.8278717257860892E-2</v>
      </c>
      <c r="O18" s="10"/>
      <c r="P18" s="21">
        <f>SUM(OSRRefP22x_0)</f>
        <v>64356.529999999992</v>
      </c>
      <c r="Q18" s="21"/>
      <c r="R18" s="32">
        <f t="shared" ref="R18:R27" si="4">IF(P$12=0,0,P18/P$12)</f>
        <v>0</v>
      </c>
      <c r="S18" s="21"/>
      <c r="T18" s="21">
        <f>SUM(OSRRefT22x_0)</f>
        <v>66926.27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-2569.7400000000125</v>
      </c>
      <c r="Y18" s="4"/>
      <c r="Z18" s="32">
        <f t="shared" ref="Z18:Z27" si="7">IF(T18=0,0,X18/T18)</f>
        <v>-3.8396581790678196E-2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10365.27</v>
      </c>
      <c r="E19" s="1"/>
      <c r="F19" s="5">
        <f t="shared" si="0"/>
        <v>0</v>
      </c>
      <c r="G19" s="1"/>
      <c r="H19" s="1">
        <f>SUM(OSRRefH22_0x_0)</f>
        <v>10238.019999999999</v>
      </c>
      <c r="I19" s="1"/>
      <c r="J19" s="5">
        <f t="shared" si="1"/>
        <v>0</v>
      </c>
      <c r="K19" s="1"/>
      <c r="L19" s="1">
        <f t="shared" si="2"/>
        <v>127.25000000000182</v>
      </c>
      <c r="M19" s="1"/>
      <c r="N19" s="5">
        <f t="shared" si="3"/>
        <v>1.2429161107323665E-2</v>
      </c>
      <c r="O19" s="14"/>
      <c r="P19" s="1">
        <f>SUM(OSRRefP22_0x_0)</f>
        <v>20588.23</v>
      </c>
      <c r="Q19" s="1"/>
      <c r="R19" s="5">
        <f t="shared" si="4"/>
        <v>0</v>
      </c>
      <c r="S19" s="1"/>
      <c r="T19" s="1">
        <f>SUM(OSRRefT22_0x_0)</f>
        <v>21376.379999999997</v>
      </c>
      <c r="U19" s="1"/>
      <c r="V19" s="5">
        <f t="shared" si="5"/>
        <v>0</v>
      </c>
      <c r="W19" s="1"/>
      <c r="X19" s="1">
        <f t="shared" si="6"/>
        <v>-788.14999999999782</v>
      </c>
      <c r="Y19" s="1"/>
      <c r="Z19" s="5">
        <f t="shared" si="7"/>
        <v>-3.6870134232269348E-2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1454.4</v>
      </c>
      <c r="E20" s="2"/>
      <c r="F20" s="8">
        <f t="shared" si="0"/>
        <v>0</v>
      </c>
      <c r="G20" s="2"/>
      <c r="H20" s="7">
        <v>1447.18</v>
      </c>
      <c r="I20" s="2"/>
      <c r="J20" s="8">
        <f t="shared" si="1"/>
        <v>0</v>
      </c>
      <c r="K20" s="2"/>
      <c r="L20" s="7">
        <f t="shared" si="2"/>
        <v>7.2200000000000273</v>
      </c>
      <c r="M20" s="2"/>
      <c r="N20" s="8">
        <f t="shared" si="3"/>
        <v>4.9890131151619195E-3</v>
      </c>
      <c r="O20" s="11"/>
      <c r="P20" s="7">
        <v>2903.06</v>
      </c>
      <c r="Q20" s="2"/>
      <c r="R20" s="8">
        <f t="shared" si="4"/>
        <v>0</v>
      </c>
      <c r="S20" s="2"/>
      <c r="T20" s="7">
        <v>2895.1</v>
      </c>
      <c r="U20" s="2"/>
      <c r="V20" s="8">
        <f t="shared" si="5"/>
        <v>0</v>
      </c>
      <c r="W20" s="2"/>
      <c r="X20" s="7">
        <f t="shared" si="6"/>
        <v>7.9600000000000364</v>
      </c>
      <c r="Y20" s="2"/>
      <c r="Z20" s="8">
        <f t="shared" si="7"/>
        <v>2.7494732479016394E-3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245.25</v>
      </c>
      <c r="E21" s="2"/>
      <c r="F21" s="8">
        <f t="shared" si="0"/>
        <v>0</v>
      </c>
      <c r="G21" s="2"/>
      <c r="H21" s="7">
        <v>62.43</v>
      </c>
      <c r="I21" s="2"/>
      <c r="J21" s="8">
        <f t="shared" si="1"/>
        <v>0</v>
      </c>
      <c r="K21" s="2"/>
      <c r="L21" s="7">
        <f t="shared" si="2"/>
        <v>182.82</v>
      </c>
      <c r="M21" s="2"/>
      <c r="N21" s="8">
        <f t="shared" si="3"/>
        <v>2.9283998077847189</v>
      </c>
      <c r="O21" s="11"/>
      <c r="P21" s="7">
        <v>489.53</v>
      </c>
      <c r="Q21" s="2"/>
      <c r="R21" s="8">
        <f t="shared" si="4"/>
        <v>0</v>
      </c>
      <c r="S21" s="2"/>
      <c r="T21" s="7">
        <v>124.89</v>
      </c>
      <c r="U21" s="2"/>
      <c r="V21" s="8">
        <f t="shared" si="5"/>
        <v>0</v>
      </c>
      <c r="W21" s="2"/>
      <c r="X21" s="7">
        <f t="shared" si="6"/>
        <v>364.64</v>
      </c>
      <c r="Y21" s="2"/>
      <c r="Z21" s="8">
        <f t="shared" si="7"/>
        <v>2.9196893266074144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3909.65</v>
      </c>
      <c r="E22" s="2"/>
      <c r="F22" s="8">
        <f t="shared" si="0"/>
        <v>0</v>
      </c>
      <c r="G22" s="2"/>
      <c r="H22" s="7">
        <v>4070.76</v>
      </c>
      <c r="I22" s="2"/>
      <c r="J22" s="8">
        <f t="shared" si="1"/>
        <v>0</v>
      </c>
      <c r="K22" s="2"/>
      <c r="L22" s="7">
        <f t="shared" si="2"/>
        <v>-161.11000000000013</v>
      </c>
      <c r="M22" s="2"/>
      <c r="N22" s="8">
        <f t="shared" si="3"/>
        <v>-3.9577376214760908E-2</v>
      </c>
      <c r="O22" s="11"/>
      <c r="P22" s="7">
        <v>7819.3</v>
      </c>
      <c r="Q22" s="2"/>
      <c r="R22" s="8">
        <f t="shared" si="4"/>
        <v>0</v>
      </c>
      <c r="S22" s="2"/>
      <c r="T22" s="7">
        <v>8036.2</v>
      </c>
      <c r="U22" s="2"/>
      <c r="V22" s="8">
        <f t="shared" si="5"/>
        <v>0</v>
      </c>
      <c r="W22" s="2"/>
      <c r="X22" s="7">
        <f t="shared" si="6"/>
        <v>-216.89999999999964</v>
      </c>
      <c r="Y22" s="2"/>
      <c r="Z22" s="8">
        <f t="shared" si="7"/>
        <v>-2.6990368582165657E-2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49.43</v>
      </c>
      <c r="E23" s="2"/>
      <c r="F23" s="8">
        <f t="shared" si="0"/>
        <v>0</v>
      </c>
      <c r="G23" s="2"/>
      <c r="H23" s="7">
        <v>49.19</v>
      </c>
      <c r="I23" s="2"/>
      <c r="J23" s="8">
        <f t="shared" si="1"/>
        <v>0</v>
      </c>
      <c r="K23" s="2"/>
      <c r="L23" s="7">
        <f t="shared" si="2"/>
        <v>0.24000000000000199</v>
      </c>
      <c r="M23" s="2"/>
      <c r="N23" s="8">
        <f t="shared" si="3"/>
        <v>4.8790404553771495E-3</v>
      </c>
      <c r="O23" s="11"/>
      <c r="P23" s="7">
        <v>98.67</v>
      </c>
      <c r="Q23" s="2"/>
      <c r="R23" s="8">
        <f t="shared" si="4"/>
        <v>0</v>
      </c>
      <c r="S23" s="2"/>
      <c r="T23" s="7">
        <v>98.4</v>
      </c>
      <c r="U23" s="2"/>
      <c r="V23" s="8">
        <f t="shared" si="5"/>
        <v>0</v>
      </c>
      <c r="W23" s="2"/>
      <c r="X23" s="7">
        <f t="shared" si="6"/>
        <v>0.26999999999999602</v>
      </c>
      <c r="Y23" s="2"/>
      <c r="Z23" s="8">
        <f t="shared" si="7"/>
        <v>2.7439024390243497E-3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2020.98</v>
      </c>
      <c r="E24" s="2"/>
      <c r="F24" s="8">
        <f t="shared" si="0"/>
        <v>0</v>
      </c>
      <c r="G24" s="2"/>
      <c r="H24" s="7">
        <v>2049.0300000000002</v>
      </c>
      <c r="I24" s="2"/>
      <c r="J24" s="8">
        <f t="shared" si="1"/>
        <v>0</v>
      </c>
      <c r="K24" s="2"/>
      <c r="L24" s="7">
        <f t="shared" si="2"/>
        <v>-28.050000000000182</v>
      </c>
      <c r="M24" s="2"/>
      <c r="N24" s="8">
        <f t="shared" si="3"/>
        <v>-1.3689404254696213E-2</v>
      </c>
      <c r="O24" s="11"/>
      <c r="P24" s="7">
        <v>4041.96</v>
      </c>
      <c r="Q24" s="2"/>
      <c r="R24" s="8">
        <f t="shared" si="4"/>
        <v>0</v>
      </c>
      <c r="S24" s="2"/>
      <c r="T24" s="7">
        <v>5122.58</v>
      </c>
      <c r="U24" s="2"/>
      <c r="V24" s="8">
        <f t="shared" si="5"/>
        <v>0</v>
      </c>
      <c r="W24" s="2"/>
      <c r="X24" s="7">
        <f t="shared" si="6"/>
        <v>-1080.6199999999999</v>
      </c>
      <c r="Y24" s="2"/>
      <c r="Z24" s="8">
        <f t="shared" si="7"/>
        <v>-0.21095229357081782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1658.98</v>
      </c>
      <c r="E25" s="2"/>
      <c r="F25" s="8">
        <f t="shared" si="0"/>
        <v>0</v>
      </c>
      <c r="G25" s="2"/>
      <c r="H25" s="7">
        <v>1658.98</v>
      </c>
      <c r="I25" s="2"/>
      <c r="J25" s="8">
        <f t="shared" si="1"/>
        <v>0</v>
      </c>
      <c r="K25" s="2"/>
      <c r="L25" s="7">
        <f t="shared" si="2"/>
        <v>0</v>
      </c>
      <c r="M25" s="2"/>
      <c r="N25" s="8">
        <f t="shared" si="3"/>
        <v>0</v>
      </c>
      <c r="O25" s="11"/>
      <c r="P25" s="7">
        <v>3317.96</v>
      </c>
      <c r="Q25" s="2"/>
      <c r="R25" s="8">
        <f t="shared" si="4"/>
        <v>0</v>
      </c>
      <c r="S25" s="2"/>
      <c r="T25" s="7">
        <v>3317.96</v>
      </c>
      <c r="U25" s="2"/>
      <c r="V25" s="8">
        <f t="shared" si="5"/>
        <v>0</v>
      </c>
      <c r="W25" s="2"/>
      <c r="X25" s="7">
        <f t="shared" si="6"/>
        <v>0</v>
      </c>
      <c r="Y25" s="2"/>
      <c r="Z25" s="8">
        <f t="shared" si="7"/>
        <v>0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856.8</v>
      </c>
      <c r="E26" s="2"/>
      <c r="F26" s="8">
        <f t="shared" si="0"/>
        <v>0</v>
      </c>
      <c r="G26" s="2"/>
      <c r="H26" s="7">
        <v>856.8</v>
      </c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>
        <v>1713.6</v>
      </c>
      <c r="Q26" s="2"/>
      <c r="R26" s="8">
        <f t="shared" si="4"/>
        <v>0</v>
      </c>
      <c r="S26" s="2"/>
      <c r="T26" s="7">
        <v>1713.6</v>
      </c>
      <c r="U26" s="2"/>
      <c r="V26" s="8">
        <f t="shared" si="5"/>
        <v>0</v>
      </c>
      <c r="W26" s="2"/>
      <c r="X26" s="7">
        <f t="shared" si="6"/>
        <v>0</v>
      </c>
      <c r="Y26" s="2"/>
      <c r="Z26" s="8">
        <f t="shared" si="7"/>
        <v>0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169.78</v>
      </c>
      <c r="E27" s="2"/>
      <c r="F27" s="8">
        <f t="shared" si="0"/>
        <v>0</v>
      </c>
      <c r="G27" s="2"/>
      <c r="H27" s="7">
        <v>43.65</v>
      </c>
      <c r="I27" s="2"/>
      <c r="J27" s="8">
        <f t="shared" si="1"/>
        <v>0</v>
      </c>
      <c r="K27" s="2"/>
      <c r="L27" s="7">
        <f t="shared" si="2"/>
        <v>126.13</v>
      </c>
      <c r="M27" s="2"/>
      <c r="N27" s="8">
        <f t="shared" si="3"/>
        <v>2.8895761741122565</v>
      </c>
      <c r="O27" s="11"/>
      <c r="P27" s="7">
        <v>204.15</v>
      </c>
      <c r="Q27" s="2"/>
      <c r="R27" s="8">
        <f t="shared" si="4"/>
        <v>0</v>
      </c>
      <c r="S27" s="2"/>
      <c r="T27" s="7">
        <v>67.650000000000006</v>
      </c>
      <c r="U27" s="2"/>
      <c r="V27" s="8">
        <f t="shared" si="5"/>
        <v>0</v>
      </c>
      <c r="W27" s="2"/>
      <c r="X27" s="7">
        <f t="shared" si="6"/>
        <v>136.5</v>
      </c>
      <c r="Y27" s="2"/>
      <c r="Z27" s="8">
        <f t="shared" si="7"/>
        <v>2.0177383592017737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13464.2</v>
      </c>
      <c r="E28" s="1"/>
      <c r="F28" s="5">
        <f t="shared" ref="F28:F30" si="8">IF(D$12=0,0,D28/D$12)</f>
        <v>0</v>
      </c>
      <c r="G28" s="1"/>
      <c r="H28" s="1">
        <f>SUM(OSRRefH22_1x_0)</f>
        <v>14832.060000000001</v>
      </c>
      <c r="I28" s="1"/>
      <c r="J28" s="5">
        <f t="shared" ref="J28:J30" si="9">IF(H$12=0,0,H28/H$12)</f>
        <v>0</v>
      </c>
      <c r="K28" s="1"/>
      <c r="L28" s="1">
        <f t="shared" ref="L28:L30" si="10">+D28-H28</f>
        <v>-1367.8600000000006</v>
      </c>
      <c r="M28" s="1"/>
      <c r="N28" s="5">
        <f t="shared" ref="N28:N30" si="11">IF(H28=0,0,L28/H28)</f>
        <v>-9.2223197586849062E-2</v>
      </c>
      <c r="O28" s="14"/>
      <c r="P28" s="1">
        <f>SUM(OSRRefP22_1x_0)</f>
        <v>35236.9</v>
      </c>
      <c r="Q28" s="1"/>
      <c r="R28" s="5">
        <f t="shared" ref="R28:R30" si="12">IF(P$12=0,0,P28/P$12)</f>
        <v>0</v>
      </c>
      <c r="S28" s="1"/>
      <c r="T28" s="1">
        <f>SUM(OSRRefT22_1x_0)</f>
        <v>35625.46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-388.55999999999767</v>
      </c>
      <c r="Y28" s="1"/>
      <c r="Z28" s="5">
        <f t="shared" ref="Z28:Z30" si="15">IF(T28=0,0,X28/T28)</f>
        <v>-1.0906806536673426E-2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10036.66</v>
      </c>
      <c r="E29" s="2"/>
      <c r="F29" s="8">
        <f t="shared" si="8"/>
        <v>0</v>
      </c>
      <c r="G29" s="2"/>
      <c r="H29" s="7">
        <v>11404.53</v>
      </c>
      <c r="I29" s="2"/>
      <c r="J29" s="8">
        <f t="shared" si="9"/>
        <v>0</v>
      </c>
      <c r="K29" s="2"/>
      <c r="L29" s="7">
        <f t="shared" si="10"/>
        <v>-1367.8700000000008</v>
      </c>
      <c r="M29" s="2"/>
      <c r="N29" s="8">
        <f t="shared" si="11"/>
        <v>-0.1199409357509692</v>
      </c>
      <c r="O29" s="11"/>
      <c r="P29" s="7">
        <v>26913</v>
      </c>
      <c r="Q29" s="2"/>
      <c r="R29" s="8">
        <f t="shared" si="12"/>
        <v>0</v>
      </c>
      <c r="S29" s="2"/>
      <c r="T29" s="7">
        <v>28280.87</v>
      </c>
      <c r="U29" s="2"/>
      <c r="V29" s="8">
        <f t="shared" si="13"/>
        <v>0</v>
      </c>
      <c r="W29" s="2"/>
      <c r="X29" s="7">
        <f t="shared" si="14"/>
        <v>-1367.869999999999</v>
      </c>
      <c r="Y29" s="2"/>
      <c r="Z29" s="8">
        <f t="shared" si="15"/>
        <v>-4.8367323918960023E-2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3427.54</v>
      </c>
      <c r="E30" s="2"/>
      <c r="F30" s="8">
        <f t="shared" si="8"/>
        <v>0</v>
      </c>
      <c r="G30" s="2"/>
      <c r="H30" s="7">
        <v>3427.53</v>
      </c>
      <c r="I30" s="2"/>
      <c r="J30" s="8">
        <f t="shared" si="9"/>
        <v>0</v>
      </c>
      <c r="K30" s="2"/>
      <c r="L30" s="7">
        <f t="shared" si="10"/>
        <v>9.9999999997635314E-3</v>
      </c>
      <c r="M30" s="2"/>
      <c r="N30" s="8">
        <f t="shared" si="11"/>
        <v>2.9175528732829563E-6</v>
      </c>
      <c r="O30" s="11"/>
      <c r="P30" s="7">
        <v>8323.9</v>
      </c>
      <c r="Q30" s="2"/>
      <c r="R30" s="8">
        <f t="shared" si="12"/>
        <v>0</v>
      </c>
      <c r="S30" s="2"/>
      <c r="T30" s="7">
        <v>7344.59</v>
      </c>
      <c r="U30" s="2"/>
      <c r="V30" s="8">
        <f t="shared" si="13"/>
        <v>0</v>
      </c>
      <c r="W30" s="2"/>
      <c r="X30" s="7">
        <f t="shared" si="14"/>
        <v>979.30999999999949</v>
      </c>
      <c r="Y30" s="2"/>
      <c r="Z30" s="8">
        <f t="shared" si="15"/>
        <v>0.1333375995120217</v>
      </c>
    </row>
    <row r="31" spans="1:26" s="28" customFormat="1" outlineLevel="1" collapsed="1" x14ac:dyDescent="0.3">
      <c r="A31" s="29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129.18</v>
      </c>
      <c r="E31" s="1"/>
      <c r="F31" s="5">
        <f t="shared" ref="F31:F45" si="16">IF(D$12=0,0,D31/D$12)</f>
        <v>0</v>
      </c>
      <c r="G31" s="1"/>
      <c r="H31" s="1">
        <f>SUM(OSRRefH22_2x_0)</f>
        <v>3.47</v>
      </c>
      <c r="I31" s="1"/>
      <c r="J31" s="5">
        <f t="shared" ref="J31:J45" si="17">IF(H$12=0,0,H31/H$12)</f>
        <v>0</v>
      </c>
      <c r="K31" s="1"/>
      <c r="L31" s="1">
        <f t="shared" ref="L31:L45" si="18">+D31-H31</f>
        <v>125.71000000000001</v>
      </c>
      <c r="M31" s="1"/>
      <c r="N31" s="5">
        <f t="shared" ref="N31:N45" si="19">IF(H31=0,0,L31/H31)</f>
        <v>36.227665706051873</v>
      </c>
      <c r="O31" s="14"/>
      <c r="P31" s="1">
        <f>SUM(OSRRefP22_2x_0)</f>
        <v>129.18</v>
      </c>
      <c r="Q31" s="1"/>
      <c r="R31" s="5">
        <f t="shared" ref="R31:R45" si="20">IF(P$12=0,0,P31/P$12)</f>
        <v>0</v>
      </c>
      <c r="S31" s="1"/>
      <c r="T31" s="1">
        <f>SUM(OSRRefT22_2x_0)</f>
        <v>61.85</v>
      </c>
      <c r="U31" s="1"/>
      <c r="V31" s="5">
        <f t="shared" ref="V31:V45" si="21">IF(T$12=0,0,T31/T$12)</f>
        <v>0</v>
      </c>
      <c r="W31" s="1"/>
      <c r="X31" s="1">
        <f t="shared" ref="X31:X45" si="22">+P31-T31</f>
        <v>67.330000000000013</v>
      </c>
      <c r="Y31" s="1"/>
      <c r="Z31" s="5">
        <f t="shared" ref="Z31:Z45" si="23">IF(T31=0,0,X31/T31)</f>
        <v>1.0886014551333874</v>
      </c>
    </row>
    <row r="32" spans="1:26" s="24" customFormat="1" hidden="1" outlineLevel="2" x14ac:dyDescent="0.3">
      <c r="A32" s="27"/>
      <c r="B32" s="11" t="str">
        <f>CONCATENATE("          ", "6362", " - ", "ADVERTISING EXPENSE")</f>
        <v xml:space="preserve">          6362 - ADVERTISING EXPENSE</v>
      </c>
      <c r="C32" s="11"/>
      <c r="D32" s="7">
        <v>129.18</v>
      </c>
      <c r="E32" s="2"/>
      <c r="F32" s="8">
        <f t="shared" si="16"/>
        <v>0</v>
      </c>
      <c r="G32" s="2"/>
      <c r="H32" s="7">
        <v>3.47</v>
      </c>
      <c r="I32" s="2"/>
      <c r="J32" s="8">
        <f t="shared" si="17"/>
        <v>0</v>
      </c>
      <c r="K32" s="2"/>
      <c r="L32" s="7">
        <f t="shared" si="18"/>
        <v>125.71000000000001</v>
      </c>
      <c r="M32" s="2"/>
      <c r="N32" s="8">
        <f t="shared" si="19"/>
        <v>36.227665706051873</v>
      </c>
      <c r="O32" s="11"/>
      <c r="P32" s="7">
        <v>129.18</v>
      </c>
      <c r="Q32" s="2"/>
      <c r="R32" s="8">
        <f t="shared" si="20"/>
        <v>0</v>
      </c>
      <c r="S32" s="2"/>
      <c r="T32" s="7">
        <v>61.85</v>
      </c>
      <c r="U32" s="2"/>
      <c r="V32" s="8">
        <f t="shared" si="21"/>
        <v>0</v>
      </c>
      <c r="W32" s="2"/>
      <c r="X32" s="7">
        <f t="shared" si="22"/>
        <v>67.330000000000013</v>
      </c>
      <c r="Y32" s="2"/>
      <c r="Z32" s="8">
        <f t="shared" si="23"/>
        <v>1.0886014551333874</v>
      </c>
    </row>
    <row r="33" spans="1:26" s="28" customFormat="1" outlineLevel="1" collapsed="1" x14ac:dyDescent="0.3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314.87</v>
      </c>
      <c r="E33" s="1"/>
      <c r="F33" s="5">
        <f t="shared" si="16"/>
        <v>0</v>
      </c>
      <c r="G33" s="1"/>
      <c r="H33" s="1">
        <f>SUM(OSRRefH22_3x_0)</f>
        <v>314.87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629.74</v>
      </c>
      <c r="Q33" s="1"/>
      <c r="R33" s="5">
        <f t="shared" si="20"/>
        <v>0</v>
      </c>
      <c r="S33" s="1"/>
      <c r="T33" s="1">
        <f>SUM(OSRRefT22_3x_0)</f>
        <v>629.74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314.87</v>
      </c>
      <c r="E34" s="2"/>
      <c r="F34" s="8">
        <f t="shared" si="16"/>
        <v>0</v>
      </c>
      <c r="G34" s="2"/>
      <c r="H34" s="7">
        <v>314.87</v>
      </c>
      <c r="I34" s="2"/>
      <c r="J34" s="8">
        <f t="shared" si="17"/>
        <v>0</v>
      </c>
      <c r="K34" s="2"/>
      <c r="L34" s="7">
        <f t="shared" si="18"/>
        <v>0</v>
      </c>
      <c r="M34" s="2"/>
      <c r="N34" s="8">
        <f t="shared" si="19"/>
        <v>0</v>
      </c>
      <c r="O34" s="11"/>
      <c r="P34" s="7">
        <v>629.74</v>
      </c>
      <c r="Q34" s="2"/>
      <c r="R34" s="8">
        <f t="shared" si="20"/>
        <v>0</v>
      </c>
      <c r="S34" s="2"/>
      <c r="T34" s="7">
        <v>629.74</v>
      </c>
      <c r="U34" s="2"/>
      <c r="V34" s="8">
        <f t="shared" si="21"/>
        <v>0</v>
      </c>
      <c r="W34" s="2"/>
      <c r="X34" s="7">
        <f t="shared" si="22"/>
        <v>0</v>
      </c>
      <c r="Y34" s="2"/>
      <c r="Z34" s="8">
        <f t="shared" si="23"/>
        <v>0</v>
      </c>
    </row>
    <row r="35" spans="1:26" s="28" customFormat="1" outlineLevel="1" collapsed="1" x14ac:dyDescent="0.3">
      <c r="A35" s="29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SUM(OSRRefD22_4x_0)</f>
        <v>117.71</v>
      </c>
      <c r="E35" s="1"/>
      <c r="F35" s="5">
        <f t="shared" si="16"/>
        <v>0</v>
      </c>
      <c r="G35" s="1"/>
      <c r="H35" s="1">
        <f>SUM(OSRRefH22_4x_0)</f>
        <v>117.71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235.42</v>
      </c>
      <c r="Q35" s="1"/>
      <c r="R35" s="5">
        <f t="shared" si="20"/>
        <v>0</v>
      </c>
      <c r="S35" s="1"/>
      <c r="T35" s="1">
        <f>SUM(OSRRefT22_4x_0)</f>
        <v>235.42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1" t="str">
        <f>CONCATENATE("          ", "6351", " - ", "EQUIPMENT RENTAL")</f>
        <v xml:space="preserve">          6351 - EQUIPMENT RENTAL</v>
      </c>
      <c r="C36" s="11"/>
      <c r="D36" s="7">
        <v>117.71</v>
      </c>
      <c r="E36" s="2"/>
      <c r="F36" s="8">
        <f t="shared" si="16"/>
        <v>0</v>
      </c>
      <c r="G36" s="2"/>
      <c r="H36" s="7">
        <v>117.71</v>
      </c>
      <c r="I36" s="2"/>
      <c r="J36" s="8">
        <f t="shared" si="17"/>
        <v>0</v>
      </c>
      <c r="K36" s="2"/>
      <c r="L36" s="7">
        <f t="shared" si="18"/>
        <v>0</v>
      </c>
      <c r="M36" s="2"/>
      <c r="N36" s="8">
        <f t="shared" si="19"/>
        <v>0</v>
      </c>
      <c r="O36" s="11"/>
      <c r="P36" s="7">
        <v>235.42</v>
      </c>
      <c r="Q36" s="2"/>
      <c r="R36" s="8">
        <f t="shared" si="20"/>
        <v>0</v>
      </c>
      <c r="S36" s="2"/>
      <c r="T36" s="7">
        <v>235.42</v>
      </c>
      <c r="U36" s="2"/>
      <c r="V36" s="8">
        <f t="shared" si="21"/>
        <v>0</v>
      </c>
      <c r="W36" s="2"/>
      <c r="X36" s="7">
        <f t="shared" si="22"/>
        <v>0</v>
      </c>
      <c r="Y36" s="2"/>
      <c r="Z36" s="8">
        <f t="shared" si="23"/>
        <v>0</v>
      </c>
    </row>
    <row r="37" spans="1:26" s="28" customFormat="1" outlineLevel="1" collapsed="1" x14ac:dyDescent="0.3">
      <c r="A37" s="29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SUM(OSRRefP22_5x_0)</f>
        <v>12.88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12.88</v>
      </c>
      <c r="Y37" s="1"/>
      <c r="Z37" s="5">
        <f t="shared" si="23"/>
        <v>0</v>
      </c>
    </row>
    <row r="38" spans="1:26" s="24" customFormat="1" hidden="1" outlineLevel="2" x14ac:dyDescent="0.3">
      <c r="A38" s="27"/>
      <c r="B38" s="11" t="str">
        <f>CONCATENATE("          ", "6307", " - ", "POSTAGE")</f>
        <v xml:space="preserve">          6307 - POSTAGE</v>
      </c>
      <c r="C38" s="11"/>
      <c r="D38" s="7"/>
      <c r="E38" s="2"/>
      <c r="F38" s="8">
        <f t="shared" si="16"/>
        <v>0</v>
      </c>
      <c r="G38" s="2"/>
      <c r="H38" s="7"/>
      <c r="I38" s="2"/>
      <c r="J38" s="8">
        <f t="shared" si="17"/>
        <v>0</v>
      </c>
      <c r="K38" s="2"/>
      <c r="L38" s="7">
        <f t="shared" si="18"/>
        <v>0</v>
      </c>
      <c r="M38" s="2"/>
      <c r="N38" s="8">
        <f t="shared" si="19"/>
        <v>0</v>
      </c>
      <c r="O38" s="11"/>
      <c r="P38" s="7">
        <v>12.88</v>
      </c>
      <c r="Q38" s="2"/>
      <c r="R38" s="8">
        <f t="shared" si="20"/>
        <v>0</v>
      </c>
      <c r="S38" s="2"/>
      <c r="T38" s="7"/>
      <c r="U38" s="2"/>
      <c r="V38" s="8">
        <f t="shared" si="21"/>
        <v>0</v>
      </c>
      <c r="W38" s="2"/>
      <c r="X38" s="7">
        <f t="shared" si="22"/>
        <v>12.88</v>
      </c>
      <c r="Y38" s="2"/>
      <c r="Z38" s="8">
        <f t="shared" si="23"/>
        <v>0</v>
      </c>
    </row>
    <row r="39" spans="1:26" s="28" customFormat="1" outlineLevel="1" collapsed="1" x14ac:dyDescent="0.3">
      <c r="A39" s="29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SUM(OSRRefD22_6x_0)</f>
        <v>156.47999999999999</v>
      </c>
      <c r="E39" s="1"/>
      <c r="F39" s="5">
        <f t="shared" si="16"/>
        <v>0</v>
      </c>
      <c r="G39" s="1"/>
      <c r="H39" s="1">
        <f>SUM(OSRRefH22_6x_0)</f>
        <v>115.13</v>
      </c>
      <c r="I39" s="1"/>
      <c r="J39" s="5">
        <f t="shared" si="17"/>
        <v>0</v>
      </c>
      <c r="K39" s="1"/>
      <c r="L39" s="1">
        <f t="shared" si="18"/>
        <v>41.349999999999994</v>
      </c>
      <c r="M39" s="1"/>
      <c r="N39" s="5">
        <f t="shared" si="19"/>
        <v>0.35915921132632672</v>
      </c>
      <c r="O39" s="14"/>
      <c r="P39" s="1">
        <f>SUM(OSRRefP22_6x_0)</f>
        <v>312.95999999999998</v>
      </c>
      <c r="Q39" s="1"/>
      <c r="R39" s="5">
        <f t="shared" si="20"/>
        <v>0</v>
      </c>
      <c r="S39" s="1"/>
      <c r="T39" s="1">
        <f>SUM(OSRRefT22_6x_0)</f>
        <v>230.26</v>
      </c>
      <c r="U39" s="1"/>
      <c r="V39" s="5">
        <f t="shared" si="21"/>
        <v>0</v>
      </c>
      <c r="W39" s="1"/>
      <c r="X39" s="1">
        <f t="shared" si="22"/>
        <v>82.699999999999989</v>
      </c>
      <c r="Y39" s="1"/>
      <c r="Z39" s="5">
        <f t="shared" si="23"/>
        <v>0.35915921132632672</v>
      </c>
    </row>
    <row r="40" spans="1:26" s="24" customFormat="1" hidden="1" outlineLevel="2" x14ac:dyDescent="0.3">
      <c r="A40" s="27"/>
      <c r="B40" s="11" t="str">
        <f>CONCATENATE("          ", "6314", " - ", "LIABILITY INSURANCE")</f>
        <v xml:space="preserve">          6314 - LIABILITY INSURANCE</v>
      </c>
      <c r="C40" s="11"/>
      <c r="D40" s="7">
        <v>156.47999999999999</v>
      </c>
      <c r="E40" s="2"/>
      <c r="F40" s="8">
        <f t="shared" si="16"/>
        <v>0</v>
      </c>
      <c r="G40" s="2"/>
      <c r="H40" s="7">
        <v>115.13</v>
      </c>
      <c r="I40" s="2"/>
      <c r="J40" s="8">
        <f t="shared" si="17"/>
        <v>0</v>
      </c>
      <c r="K40" s="2"/>
      <c r="L40" s="7">
        <f t="shared" si="18"/>
        <v>41.349999999999994</v>
      </c>
      <c r="M40" s="2"/>
      <c r="N40" s="8">
        <f t="shared" si="19"/>
        <v>0.35915921132632672</v>
      </c>
      <c r="O40" s="11"/>
      <c r="P40" s="7">
        <v>312.95999999999998</v>
      </c>
      <c r="Q40" s="2"/>
      <c r="R40" s="8">
        <f t="shared" si="20"/>
        <v>0</v>
      </c>
      <c r="S40" s="2"/>
      <c r="T40" s="7">
        <v>230.26</v>
      </c>
      <c r="U40" s="2"/>
      <c r="V40" s="8">
        <f t="shared" si="21"/>
        <v>0</v>
      </c>
      <c r="W40" s="2"/>
      <c r="X40" s="7">
        <f t="shared" si="22"/>
        <v>82.699999999999989</v>
      </c>
      <c r="Y40" s="2"/>
      <c r="Z40" s="8">
        <f t="shared" si="23"/>
        <v>0.35915921132632672</v>
      </c>
    </row>
    <row r="41" spans="1:26" s="28" customFormat="1" outlineLevel="1" collapsed="1" x14ac:dyDescent="0.3">
      <c r="A41" s="29"/>
      <c r="B41" s="14" t="str">
        <f>CONCATENATE("     ","Professional Services                             ")</f>
        <v xml:space="preserve">     Professional Services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1050</v>
      </c>
      <c r="I41" s="1"/>
      <c r="J41" s="5">
        <f t="shared" si="17"/>
        <v>0</v>
      </c>
      <c r="K41" s="1"/>
      <c r="L41" s="1">
        <f t="shared" si="18"/>
        <v>-1050</v>
      </c>
      <c r="M41" s="1"/>
      <c r="N41" s="5">
        <f t="shared" si="19"/>
        <v>-1</v>
      </c>
      <c r="O41" s="14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1150</v>
      </c>
      <c r="U41" s="1"/>
      <c r="V41" s="5">
        <f t="shared" si="21"/>
        <v>0</v>
      </c>
      <c r="W41" s="1"/>
      <c r="X41" s="1">
        <f t="shared" si="22"/>
        <v>-1150</v>
      </c>
      <c r="Y41" s="1"/>
      <c r="Z41" s="5">
        <f t="shared" si="23"/>
        <v>-1</v>
      </c>
    </row>
    <row r="42" spans="1:26" s="24" customFormat="1" hidden="1" outlineLevel="2" x14ac:dyDescent="0.3">
      <c r="A42" s="27"/>
      <c r="B42" s="11" t="str">
        <f>CONCATENATE("          ", "6334", " - ", "LEGAL COUNCIL EXPENSE")</f>
        <v xml:space="preserve">          6334 - LEGAL COUNCIL EXPENSE</v>
      </c>
      <c r="C42" s="11"/>
      <c r="D42" s="7"/>
      <c r="E42" s="2"/>
      <c r="F42" s="8">
        <f t="shared" si="16"/>
        <v>0</v>
      </c>
      <c r="G42" s="2"/>
      <c r="H42" s="7">
        <v>1050</v>
      </c>
      <c r="I42" s="2"/>
      <c r="J42" s="8">
        <f t="shared" si="17"/>
        <v>0</v>
      </c>
      <c r="K42" s="2"/>
      <c r="L42" s="7">
        <f t="shared" si="18"/>
        <v>-1050</v>
      </c>
      <c r="M42" s="2"/>
      <c r="N42" s="8">
        <f t="shared" si="19"/>
        <v>-1</v>
      </c>
      <c r="O42" s="11"/>
      <c r="P42" s="7"/>
      <c r="Q42" s="2"/>
      <c r="R42" s="8">
        <f t="shared" si="20"/>
        <v>0</v>
      </c>
      <c r="S42" s="2"/>
      <c r="T42" s="7">
        <v>1150</v>
      </c>
      <c r="U42" s="2"/>
      <c r="V42" s="8">
        <f t="shared" si="21"/>
        <v>0</v>
      </c>
      <c r="W42" s="2"/>
      <c r="X42" s="7">
        <f t="shared" si="22"/>
        <v>-1150</v>
      </c>
      <c r="Y42" s="2"/>
      <c r="Z42" s="8">
        <f t="shared" si="23"/>
        <v>-1</v>
      </c>
    </row>
    <row r="43" spans="1:26" s="28" customFormat="1" outlineLevel="1" collapsed="1" x14ac:dyDescent="0.3">
      <c r="A43" s="29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SUM(OSRRefD22_8x_0)</f>
        <v>2662.99</v>
      </c>
      <c r="E43" s="1"/>
      <c r="F43" s="5">
        <f t="shared" si="16"/>
        <v>0</v>
      </c>
      <c r="G43" s="1"/>
      <c r="H43" s="1">
        <f>SUM(OSRRefH22_8x_0)</f>
        <v>2565</v>
      </c>
      <c r="I43" s="1"/>
      <c r="J43" s="5">
        <f t="shared" si="17"/>
        <v>0</v>
      </c>
      <c r="K43" s="1"/>
      <c r="L43" s="1">
        <f t="shared" si="18"/>
        <v>97.989999999999782</v>
      </c>
      <c r="M43" s="1"/>
      <c r="N43" s="5">
        <f t="shared" si="19"/>
        <v>3.8202729044834224E-2</v>
      </c>
      <c r="O43" s="14"/>
      <c r="P43" s="1">
        <f>SUM(OSRRefP22_8x_0)</f>
        <v>5255.17</v>
      </c>
      <c r="Q43" s="1"/>
      <c r="R43" s="5">
        <f t="shared" si="20"/>
        <v>0</v>
      </c>
      <c r="S43" s="1"/>
      <c r="T43" s="1">
        <f>SUM(OSRRefT22_8x_0)</f>
        <v>5152.7299999999996</v>
      </c>
      <c r="U43" s="1"/>
      <c r="V43" s="5">
        <f t="shared" si="21"/>
        <v>0</v>
      </c>
      <c r="W43" s="1"/>
      <c r="X43" s="1">
        <f t="shared" si="22"/>
        <v>102.44000000000051</v>
      </c>
      <c r="Y43" s="1"/>
      <c r="Z43" s="5">
        <f t="shared" si="23"/>
        <v>1.9880723422341266E-2</v>
      </c>
    </row>
    <row r="44" spans="1:26" s="24" customFormat="1" hidden="1" outlineLevel="2" x14ac:dyDescent="0.3">
      <c r="A44" s="27"/>
      <c r="B44" s="11" t="str">
        <f>CONCATENATE("          ", "6373", " - ", "MAINTENANCE CONTRACTS")</f>
        <v xml:space="preserve">          6373 - MAINTENANCE CONTRACTS</v>
      </c>
      <c r="C44" s="11"/>
      <c r="D44" s="7">
        <v>2565</v>
      </c>
      <c r="E44" s="2"/>
      <c r="F44" s="8">
        <f t="shared" si="16"/>
        <v>0</v>
      </c>
      <c r="G44" s="2"/>
      <c r="H44" s="7">
        <v>2565</v>
      </c>
      <c r="I44" s="2"/>
      <c r="J44" s="8">
        <f t="shared" si="17"/>
        <v>0</v>
      </c>
      <c r="K44" s="2"/>
      <c r="L44" s="7">
        <f t="shared" si="18"/>
        <v>0</v>
      </c>
      <c r="M44" s="2"/>
      <c r="N44" s="8">
        <f t="shared" si="19"/>
        <v>0</v>
      </c>
      <c r="O44" s="11"/>
      <c r="P44" s="7">
        <v>5157.18</v>
      </c>
      <c r="Q44" s="2"/>
      <c r="R44" s="8">
        <f t="shared" si="20"/>
        <v>0</v>
      </c>
      <c r="S44" s="2"/>
      <c r="T44" s="7">
        <v>5152.7299999999996</v>
      </c>
      <c r="U44" s="2"/>
      <c r="V44" s="8">
        <f t="shared" si="21"/>
        <v>0</v>
      </c>
      <c r="W44" s="2"/>
      <c r="X44" s="7">
        <f t="shared" si="22"/>
        <v>4.4500000000007276</v>
      </c>
      <c r="Y44" s="2"/>
      <c r="Z44" s="8">
        <f t="shared" si="23"/>
        <v>8.6361986752667575E-4</v>
      </c>
    </row>
    <row r="45" spans="1:26" s="24" customFormat="1" hidden="1" outlineLevel="2" x14ac:dyDescent="0.3">
      <c r="A45" s="27"/>
      <c r="B45" s="11" t="str">
        <f>CONCATENATE("          ", "6375", " - ", "OUTSIDE REPAIRS &amp; MAINTENANCE")</f>
        <v xml:space="preserve">          6375 - OUTSIDE REPAIRS &amp; MAINTENANCE</v>
      </c>
      <c r="C45" s="11"/>
      <c r="D45" s="7">
        <v>97.99</v>
      </c>
      <c r="E45" s="2"/>
      <c r="F45" s="8">
        <f t="shared" si="16"/>
        <v>0</v>
      </c>
      <c r="G45" s="2"/>
      <c r="H45" s="7"/>
      <c r="I45" s="2"/>
      <c r="J45" s="8">
        <f t="shared" si="17"/>
        <v>0</v>
      </c>
      <c r="K45" s="2"/>
      <c r="L45" s="7">
        <f t="shared" si="18"/>
        <v>97.99</v>
      </c>
      <c r="M45" s="2"/>
      <c r="N45" s="8">
        <f t="shared" si="19"/>
        <v>0</v>
      </c>
      <c r="O45" s="11"/>
      <c r="P45" s="7">
        <v>97.99</v>
      </c>
      <c r="Q45" s="2"/>
      <c r="R45" s="8">
        <f t="shared" si="20"/>
        <v>0</v>
      </c>
      <c r="S45" s="2"/>
      <c r="T45" s="7"/>
      <c r="U45" s="2"/>
      <c r="V45" s="8">
        <f t="shared" si="21"/>
        <v>0</v>
      </c>
      <c r="W45" s="2"/>
      <c r="X45" s="7">
        <f t="shared" si="22"/>
        <v>97.99</v>
      </c>
      <c r="Y45" s="2"/>
      <c r="Z45" s="8">
        <f t="shared" si="23"/>
        <v>0</v>
      </c>
    </row>
    <row r="46" spans="1:26" s="28" customFormat="1" outlineLevel="1" collapsed="1" x14ac:dyDescent="0.3">
      <c r="A46" s="29"/>
      <c r="B46" s="14" t="str">
        <f>CONCATENATE("     ","Subscriptions &amp; Dues                              ")</f>
        <v xml:space="preserve">     Subscriptions &amp; Dues                              </v>
      </c>
      <c r="C46" s="14"/>
      <c r="D46" s="1">
        <f>SUM(OSRRefD22_9x_0)</f>
        <v>1000</v>
      </c>
      <c r="E46" s="1"/>
      <c r="F46" s="5">
        <f t="shared" ref="F46:F50" si="24">IF(D$12=0,0,D46/D$12)</f>
        <v>0</v>
      </c>
      <c r="G46" s="1"/>
      <c r="H46" s="1">
        <f>SUM(OSRRefH22_9x_0)</f>
        <v>1725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-725</v>
      </c>
      <c r="M46" s="1"/>
      <c r="N46" s="5">
        <f t="shared" ref="N46:N50" si="27">IF(H46=0,0,L46/H46)</f>
        <v>-0.42028985507246375</v>
      </c>
      <c r="O46" s="14"/>
      <c r="P46" s="1">
        <f>SUM(OSRRefP22_9x_0)</f>
        <v>1000</v>
      </c>
      <c r="Q46" s="1"/>
      <c r="R46" s="5">
        <f t="shared" ref="R46:R50" si="28">IF(P$12=0,0,P46/P$12)</f>
        <v>0</v>
      </c>
      <c r="S46" s="1"/>
      <c r="T46" s="1">
        <f>SUM(OSRRefT22_9x_0)</f>
        <v>1725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-725</v>
      </c>
      <c r="Y46" s="1"/>
      <c r="Z46" s="5">
        <f t="shared" ref="Z46:Z50" si="31">IF(T46=0,0,X46/T46)</f>
        <v>-0.42028985507246375</v>
      </c>
    </row>
    <row r="47" spans="1:26" s="24" customFormat="1" hidden="1" outlineLevel="2" x14ac:dyDescent="0.3">
      <c r="A47" s="27"/>
      <c r="B47" s="11" t="str">
        <f>CONCATENATE("          ", "6258", " - ", "MEMBERSHIP DUES")</f>
        <v xml:space="preserve">          6258 - MEMBERSHIP DUES</v>
      </c>
      <c r="C47" s="11"/>
      <c r="D47" s="7">
        <v>1000</v>
      </c>
      <c r="E47" s="2"/>
      <c r="F47" s="8">
        <f t="shared" si="24"/>
        <v>0</v>
      </c>
      <c r="G47" s="2"/>
      <c r="H47" s="7">
        <v>1725</v>
      </c>
      <c r="I47" s="2"/>
      <c r="J47" s="8">
        <f t="shared" si="25"/>
        <v>0</v>
      </c>
      <c r="K47" s="2"/>
      <c r="L47" s="7">
        <f t="shared" si="26"/>
        <v>-725</v>
      </c>
      <c r="M47" s="2"/>
      <c r="N47" s="8">
        <f t="shared" si="27"/>
        <v>-0.42028985507246375</v>
      </c>
      <c r="O47" s="11"/>
      <c r="P47" s="7">
        <v>1000</v>
      </c>
      <c r="Q47" s="2"/>
      <c r="R47" s="8">
        <f t="shared" si="28"/>
        <v>0</v>
      </c>
      <c r="S47" s="2"/>
      <c r="T47" s="7">
        <v>1725</v>
      </c>
      <c r="U47" s="2"/>
      <c r="V47" s="8">
        <f t="shared" si="29"/>
        <v>0</v>
      </c>
      <c r="W47" s="2"/>
      <c r="X47" s="7">
        <f t="shared" si="30"/>
        <v>-725</v>
      </c>
      <c r="Y47" s="2"/>
      <c r="Z47" s="8">
        <f t="shared" si="31"/>
        <v>-0.42028985507246375</v>
      </c>
    </row>
    <row r="48" spans="1:26" s="28" customFormat="1" outlineLevel="1" collapsed="1" x14ac:dyDescent="0.3">
      <c r="A48" s="29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SUM(OSRRefD22_10x_0)</f>
        <v>19.84</v>
      </c>
      <c r="E48" s="1"/>
      <c r="F48" s="5">
        <f t="shared" si="24"/>
        <v>0</v>
      </c>
      <c r="G48" s="1"/>
      <c r="H48" s="1">
        <f>SUM(OSRRefH22_10x_0)</f>
        <v>0</v>
      </c>
      <c r="I48" s="1"/>
      <c r="J48" s="5">
        <f t="shared" si="25"/>
        <v>0</v>
      </c>
      <c r="K48" s="1"/>
      <c r="L48" s="1">
        <f t="shared" si="26"/>
        <v>19.84</v>
      </c>
      <c r="M48" s="1"/>
      <c r="N48" s="5">
        <f t="shared" si="27"/>
        <v>0</v>
      </c>
      <c r="O48" s="14"/>
      <c r="P48" s="1">
        <f>SUM(OSRRefP22_10x_0)</f>
        <v>25.89</v>
      </c>
      <c r="Q48" s="1"/>
      <c r="R48" s="5">
        <f t="shared" si="28"/>
        <v>0</v>
      </c>
      <c r="S48" s="1"/>
      <c r="T48" s="1">
        <f>SUM(OSRRefT22_10x_0)</f>
        <v>132.01</v>
      </c>
      <c r="U48" s="1"/>
      <c r="V48" s="5">
        <f t="shared" si="29"/>
        <v>0</v>
      </c>
      <c r="W48" s="1"/>
      <c r="X48" s="1">
        <f t="shared" si="30"/>
        <v>-106.11999999999999</v>
      </c>
      <c r="Y48" s="1"/>
      <c r="Z48" s="5">
        <f t="shared" si="31"/>
        <v>-0.80387849405348077</v>
      </c>
    </row>
    <row r="49" spans="1:26" s="24" customFormat="1" hidden="1" outlineLevel="2" x14ac:dyDescent="0.3">
      <c r="A49" s="27"/>
      <c r="B49" s="11" t="str">
        <f>CONCATENATE("          ", "6235", " - ", "COVID-19 EXPENSES")</f>
        <v xml:space="preserve">          6235 - COVID-19 EXPENSES</v>
      </c>
      <c r="C49" s="11"/>
      <c r="D49" s="7"/>
      <c r="E49" s="2"/>
      <c r="F49" s="8">
        <f t="shared" si="24"/>
        <v>0</v>
      </c>
      <c r="G49" s="2"/>
      <c r="H49" s="7"/>
      <c r="I49" s="2"/>
      <c r="J49" s="8">
        <f t="shared" si="25"/>
        <v>0</v>
      </c>
      <c r="K49" s="2"/>
      <c r="L49" s="7">
        <f t="shared" si="26"/>
        <v>0</v>
      </c>
      <c r="M49" s="2"/>
      <c r="N49" s="8">
        <f t="shared" si="27"/>
        <v>0</v>
      </c>
      <c r="O49" s="11"/>
      <c r="P49" s="7"/>
      <c r="Q49" s="2"/>
      <c r="R49" s="8">
        <f t="shared" si="28"/>
        <v>0</v>
      </c>
      <c r="S49" s="2"/>
      <c r="T49" s="7">
        <v>106.94</v>
      </c>
      <c r="U49" s="2"/>
      <c r="V49" s="8">
        <f t="shared" si="29"/>
        <v>0</v>
      </c>
      <c r="W49" s="2"/>
      <c r="X49" s="7">
        <f t="shared" si="30"/>
        <v>-106.94</v>
      </c>
      <c r="Y49" s="2"/>
      <c r="Z49" s="8">
        <f t="shared" si="31"/>
        <v>-1</v>
      </c>
    </row>
    <row r="50" spans="1:26" s="24" customFormat="1" hidden="1" outlineLevel="2" x14ac:dyDescent="0.3">
      <c r="A50" s="27"/>
      <c r="B50" s="11" t="str">
        <f>CONCATENATE("          ", "6241", " - ", "OFFICE EXPENSE")</f>
        <v xml:space="preserve">          6241 - OFFICE EXPENSE</v>
      </c>
      <c r="C50" s="11"/>
      <c r="D50" s="7">
        <v>19.84</v>
      </c>
      <c r="E50" s="2"/>
      <c r="F50" s="8">
        <f t="shared" si="24"/>
        <v>0</v>
      </c>
      <c r="G50" s="2"/>
      <c r="H50" s="7"/>
      <c r="I50" s="2"/>
      <c r="J50" s="8">
        <f t="shared" si="25"/>
        <v>0</v>
      </c>
      <c r="K50" s="2"/>
      <c r="L50" s="7">
        <f t="shared" si="26"/>
        <v>19.84</v>
      </c>
      <c r="M50" s="2"/>
      <c r="N50" s="8">
        <f t="shared" si="27"/>
        <v>0</v>
      </c>
      <c r="O50" s="11"/>
      <c r="P50" s="7">
        <v>25.89</v>
      </c>
      <c r="Q50" s="2"/>
      <c r="R50" s="8">
        <f t="shared" si="28"/>
        <v>0</v>
      </c>
      <c r="S50" s="2"/>
      <c r="T50" s="7">
        <v>25.07</v>
      </c>
      <c r="U50" s="2"/>
      <c r="V50" s="8">
        <f t="shared" si="29"/>
        <v>0</v>
      </c>
      <c r="W50" s="2"/>
      <c r="X50" s="7">
        <f t="shared" si="30"/>
        <v>0.82000000000000028</v>
      </c>
      <c r="Y50" s="2"/>
      <c r="Z50" s="8">
        <f t="shared" si="31"/>
        <v>3.2708416433984852E-2</v>
      </c>
    </row>
    <row r="51" spans="1:26" s="28" customFormat="1" outlineLevel="1" collapsed="1" x14ac:dyDescent="0.3">
      <c r="A51" s="29"/>
      <c r="B51" s="14" t="str">
        <f>CONCATENATE("     ","Telephone/Data Lines                              ")</f>
        <v xml:space="preserve">     Telephone/Data Lines                              </v>
      </c>
      <c r="C51" s="14"/>
      <c r="D51" s="1">
        <f>SUM(OSRRefD22_11x_0)</f>
        <v>274.89999999999998</v>
      </c>
      <c r="E51" s="1"/>
      <c r="F51" s="5">
        <f t="shared" ref="F51:F52" si="32">IF(D$12=0,0,D51/D$12)</f>
        <v>0</v>
      </c>
      <c r="G51" s="1"/>
      <c r="H51" s="1">
        <f>SUM(OSRRefH22_11x_0)</f>
        <v>304.26</v>
      </c>
      <c r="I51" s="1"/>
      <c r="J51" s="5">
        <f t="shared" ref="J51:J52" si="33">IF(H$12=0,0,H51/H$12)</f>
        <v>0</v>
      </c>
      <c r="K51" s="1"/>
      <c r="L51" s="1">
        <f t="shared" ref="L51:L52" si="34">+D51-H51</f>
        <v>-29.360000000000014</v>
      </c>
      <c r="M51" s="1"/>
      <c r="N51" s="5">
        <f t="shared" ref="N51:N52" si="35">IF(H51=0,0,L51/H51)</f>
        <v>-9.6496417537632342E-2</v>
      </c>
      <c r="O51" s="14"/>
      <c r="P51" s="1">
        <f>SUM(OSRRefP22_11x_0)</f>
        <v>930.16</v>
      </c>
      <c r="Q51" s="1"/>
      <c r="R51" s="5">
        <f t="shared" ref="R51:R52" si="36">IF(P$12=0,0,P51/P$12)</f>
        <v>0</v>
      </c>
      <c r="S51" s="1"/>
      <c r="T51" s="1">
        <f>SUM(OSRRefT22_11x_0)</f>
        <v>607.41999999999996</v>
      </c>
      <c r="U51" s="1"/>
      <c r="V51" s="5">
        <f t="shared" ref="V51:V52" si="37">IF(T$12=0,0,T51/T$12)</f>
        <v>0</v>
      </c>
      <c r="W51" s="1"/>
      <c r="X51" s="1">
        <f t="shared" ref="X51:X52" si="38">+P51-T51</f>
        <v>322.74</v>
      </c>
      <c r="Y51" s="1"/>
      <c r="Z51" s="5">
        <f t="shared" ref="Z51:Z52" si="39">IF(T51=0,0,X51/T51)</f>
        <v>0.531329228540384</v>
      </c>
    </row>
    <row r="52" spans="1:26" s="24" customFormat="1" hidden="1" outlineLevel="2" x14ac:dyDescent="0.3">
      <c r="A52" s="27"/>
      <c r="B52" s="11" t="str">
        <f>CONCATENATE("          ", "6309", " - ", "TELEPHONE")</f>
        <v xml:space="preserve">          6309 - TELEPHONE</v>
      </c>
      <c r="C52" s="11"/>
      <c r="D52" s="7">
        <v>274.89999999999998</v>
      </c>
      <c r="E52" s="2"/>
      <c r="F52" s="8">
        <f t="shared" si="32"/>
        <v>0</v>
      </c>
      <c r="G52" s="2"/>
      <c r="H52" s="7">
        <v>304.26</v>
      </c>
      <c r="I52" s="2"/>
      <c r="J52" s="8">
        <f t="shared" si="33"/>
        <v>0</v>
      </c>
      <c r="K52" s="2"/>
      <c r="L52" s="7">
        <f t="shared" si="34"/>
        <v>-29.360000000000014</v>
      </c>
      <c r="M52" s="2"/>
      <c r="N52" s="8">
        <f t="shared" si="35"/>
        <v>-9.6496417537632342E-2</v>
      </c>
      <c r="O52" s="11"/>
      <c r="P52" s="7">
        <v>930.16</v>
      </c>
      <c r="Q52" s="2"/>
      <c r="R52" s="8">
        <f t="shared" si="36"/>
        <v>0</v>
      </c>
      <c r="S52" s="2"/>
      <c r="T52" s="7">
        <v>607.41999999999996</v>
      </c>
      <c r="U52" s="2"/>
      <c r="V52" s="8">
        <f t="shared" si="37"/>
        <v>0</v>
      </c>
      <c r="W52" s="2"/>
      <c r="X52" s="7">
        <f t="shared" si="38"/>
        <v>322.74</v>
      </c>
      <c r="Y52" s="2"/>
      <c r="Z52" s="8">
        <f t="shared" si="39"/>
        <v>0.531329228540384</v>
      </c>
    </row>
    <row r="53" spans="1:26" s="61" customFormat="1" x14ac:dyDescent="0.3">
      <c r="A53" s="37"/>
      <c r="B53" s="37"/>
      <c r="C53" s="37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3">
      <c r="A54" s="10"/>
      <c r="B54" s="26" t="s">
        <v>292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3">
      <c r="A55" s="9"/>
      <c r="B55" s="10"/>
      <c r="C55" s="10"/>
      <c r="D55" s="3"/>
      <c r="E55" s="3"/>
      <c r="F55" s="6"/>
      <c r="G55" s="3"/>
      <c r="H55" s="3"/>
      <c r="I55" s="3"/>
      <c r="J55" s="6"/>
      <c r="K55" s="3"/>
      <c r="L55" s="3"/>
      <c r="M55" s="3"/>
      <c r="N55" s="6"/>
      <c r="O55" s="10"/>
      <c r="P55" s="3"/>
      <c r="Q55" s="3"/>
      <c r="R55" s="6"/>
      <c r="S55" s="3"/>
      <c r="T55" s="3"/>
      <c r="U55" s="3"/>
      <c r="V55" s="6"/>
      <c r="W55" s="3"/>
      <c r="X55" s="3"/>
      <c r="Y55" s="3"/>
      <c r="Z55" s="6"/>
    </row>
    <row r="56" spans="1:26" s="23" customFormat="1" x14ac:dyDescent="0.3">
      <c r="A56" s="10"/>
      <c r="B56" s="25" t="s">
        <v>276</v>
      </c>
      <c r="C56" s="25"/>
      <c r="D56" s="20">
        <f>+D16-D18+D54</f>
        <v>-28505.440000000002</v>
      </c>
      <c r="E56" s="13"/>
      <c r="F56" s="22">
        <f>IF(D$12=0,0,D56/D$12)</f>
        <v>0</v>
      </c>
      <c r="G56" s="13"/>
      <c r="H56" s="20">
        <f>+H16-H18+H54</f>
        <v>-31265.519999999997</v>
      </c>
      <c r="I56" s="13"/>
      <c r="J56" s="22">
        <f>IF(H$12=0,0,H56/H$12)</f>
        <v>0</v>
      </c>
      <c r="K56" s="15"/>
      <c r="L56" s="20">
        <f>+D56-H56</f>
        <v>2760.0799999999945</v>
      </c>
      <c r="M56" s="15"/>
      <c r="N56" s="22">
        <f>IF(H56=0,0,L56/H56)</f>
        <v>-8.8278717257860892E-2</v>
      </c>
      <c r="O56" s="26"/>
      <c r="P56" s="20">
        <f>+P16-P18+P54</f>
        <v>-64356.529999999992</v>
      </c>
      <c r="Q56" s="13"/>
      <c r="R56" s="22">
        <f>IF(P$12=0,0,P56/P$12)</f>
        <v>0</v>
      </c>
      <c r="S56" s="13"/>
      <c r="T56" s="20">
        <f>+T16-T18+T54</f>
        <v>-66926.27</v>
      </c>
      <c r="U56" s="13"/>
      <c r="V56" s="22">
        <f>IF(T$12=0,0,T56/T$12)</f>
        <v>0</v>
      </c>
      <c r="W56" s="15"/>
      <c r="X56" s="20">
        <f>+P56-T56</f>
        <v>2569.7400000000125</v>
      </c>
      <c r="Y56" s="15"/>
      <c r="Z56" s="22">
        <f>IF(T56=0,0,X56/T56)</f>
        <v>-3.8396581790678196E-2</v>
      </c>
    </row>
    <row r="57" spans="1:26" x14ac:dyDescent="0.3">
      <c r="A57" s="9"/>
      <c r="B57" s="10"/>
      <c r="C57" s="9"/>
      <c r="D57" s="3"/>
      <c r="E57" s="3"/>
      <c r="F57" s="6"/>
      <c r="G57" s="3"/>
      <c r="H57" s="3"/>
      <c r="I57" s="3"/>
      <c r="J57" s="6"/>
      <c r="K57" s="3"/>
      <c r="L57" s="3"/>
      <c r="M57" s="3"/>
      <c r="N57" s="6"/>
      <c r="P57" s="3"/>
      <c r="Q57" s="3"/>
      <c r="R57" s="6"/>
      <c r="S57" s="3"/>
      <c r="T57" s="3"/>
      <c r="U57" s="3"/>
      <c r="V57" s="6"/>
      <c r="W57" s="3"/>
      <c r="X57" s="3"/>
      <c r="Y57" s="3"/>
      <c r="Z57" s="6"/>
    </row>
    <row r="58" spans="1:26" s="23" customFormat="1" x14ac:dyDescent="0.3">
      <c r="A58" s="51"/>
      <c r="B58" s="10" t="s">
        <v>127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6"/>
      <c r="G59" s="3"/>
      <c r="H59" s="3"/>
      <c r="I59" s="3"/>
      <c r="J59" s="6"/>
      <c r="K59" s="3"/>
      <c r="L59" s="3"/>
      <c r="M59" s="3"/>
      <c r="N59" s="6"/>
      <c r="O59" s="10"/>
      <c r="P59" s="3"/>
      <c r="Q59" s="3"/>
      <c r="R59" s="6"/>
      <c r="S59" s="3"/>
      <c r="T59" s="3"/>
      <c r="U59" s="3"/>
      <c r="V59" s="6"/>
      <c r="W59" s="3"/>
      <c r="X59" s="3"/>
      <c r="Y59" s="3"/>
      <c r="Z59" s="6"/>
    </row>
    <row r="60" spans="1:26" s="23" customFormat="1" ht="15" thickBot="1" x14ac:dyDescent="0.35">
      <c r="A60" s="10"/>
      <c r="B60" s="25" t="s">
        <v>125</v>
      </c>
      <c r="C60" s="25"/>
      <c r="D60" s="33">
        <f>+D56-D58</f>
        <v>-28505.440000000002</v>
      </c>
      <c r="E60" s="13"/>
      <c r="F60" s="36">
        <f>IF(D$12=0,0,D60/D$12)</f>
        <v>0</v>
      </c>
      <c r="G60" s="13"/>
      <c r="H60" s="33">
        <f>+H56-H58</f>
        <v>-31265.519999999997</v>
      </c>
      <c r="I60" s="13"/>
      <c r="J60" s="36">
        <f>IF(H$12=0,0,H60/H$12)</f>
        <v>0</v>
      </c>
      <c r="K60" s="15"/>
      <c r="L60" s="33">
        <f>D60-H60</f>
        <v>2760.0799999999945</v>
      </c>
      <c r="M60" s="15"/>
      <c r="N60" s="36">
        <f>IF(H60=0,0,L60/H60)</f>
        <v>-8.8278717257860892E-2</v>
      </c>
      <c r="O60" s="26"/>
      <c r="P60" s="33">
        <f>+P56-P58</f>
        <v>-64356.529999999992</v>
      </c>
      <c r="Q60" s="13"/>
      <c r="R60" s="36">
        <f>IF(P$12=0,0,P60/P$12)</f>
        <v>0</v>
      </c>
      <c r="S60" s="13"/>
      <c r="T60" s="33">
        <f>+T56-T58</f>
        <v>-66926.27</v>
      </c>
      <c r="U60" s="13"/>
      <c r="V60" s="36">
        <f>IF(T$12=0,0,T60/T$12)</f>
        <v>0</v>
      </c>
      <c r="W60" s="15"/>
      <c r="X60" s="33">
        <f>P60-T60</f>
        <v>2569.7400000000125</v>
      </c>
      <c r="Y60" s="15"/>
      <c r="Z60" s="36">
        <f>IF(T60=0,0,X60/T60)</f>
        <v>-3.8396581790678196E-2</v>
      </c>
    </row>
    <row r="61" spans="1:26" ht="15" thickTop="1" x14ac:dyDescent="0.3">
      <c r="A61" s="9"/>
      <c r="B61" s="9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x14ac:dyDescent="0.3">
      <c r="A62" s="9"/>
      <c r="B62" s="9"/>
      <c r="C62" s="9"/>
      <c r="D62" s="3"/>
      <c r="E62" s="3"/>
      <c r="F62" s="6"/>
      <c r="G62" s="3"/>
      <c r="H62" s="3"/>
      <c r="I62" s="3"/>
      <c r="J62" s="6"/>
      <c r="K62" s="3"/>
      <c r="L62" s="3"/>
      <c r="M62" s="3"/>
      <c r="N62" s="6"/>
      <c r="P62" s="3"/>
      <c r="Q62" s="3"/>
      <c r="R62" s="6"/>
      <c r="S62" s="3"/>
      <c r="T62" s="3"/>
      <c r="U62" s="3"/>
      <c r="V62" s="6"/>
      <c r="W62" s="3"/>
      <c r="X62" s="3"/>
      <c r="Y62" s="3"/>
      <c r="Z62" s="6"/>
    </row>
    <row r="63" spans="1:26" s="23" customFormat="1" ht="15" thickBot="1" x14ac:dyDescent="0.35">
      <c r="A63" s="10"/>
      <c r="B63" s="25" t="s">
        <v>293</v>
      </c>
      <c r="C63" s="25"/>
      <c r="D63" s="30">
        <f>SUM(D60:D62)</f>
        <v>-28505.440000000002</v>
      </c>
      <c r="E63" s="13"/>
      <c r="F63" s="31">
        <f>IF(D$12=0,0,D63/D$12)</f>
        <v>0</v>
      </c>
      <c r="G63" s="13"/>
      <c r="H63" s="30">
        <f>SUM(H60:H62)</f>
        <v>-31265.519999999997</v>
      </c>
      <c r="I63" s="13"/>
      <c r="J63" s="31">
        <f>IF(H$12=0,0,H63/H$12)</f>
        <v>0</v>
      </c>
      <c r="K63" s="15"/>
      <c r="L63" s="30">
        <f>+D63-H63</f>
        <v>2760.0799999999945</v>
      </c>
      <c r="M63" s="15"/>
      <c r="N63" s="31">
        <f>IF(H63=0,0,L63/H63)</f>
        <v>-8.8278717257860892E-2</v>
      </c>
      <c r="O63" s="26"/>
      <c r="P63" s="30">
        <f>SUM(P60:P62)</f>
        <v>-64356.529999999992</v>
      </c>
      <c r="Q63" s="13"/>
      <c r="R63" s="31">
        <f>IF(P$12=0,0,P63/P$12)</f>
        <v>0</v>
      </c>
      <c r="S63" s="13"/>
      <c r="T63" s="30">
        <f>SUM(T60:T62)</f>
        <v>-66926.27</v>
      </c>
      <c r="U63" s="13"/>
      <c r="V63" s="31">
        <f>IF(T$12=0,0,T63/T$12)</f>
        <v>0</v>
      </c>
      <c r="W63" s="15"/>
      <c r="X63" s="30">
        <f>+P63-T63</f>
        <v>2569.7400000000125</v>
      </c>
      <c r="Y63" s="15"/>
      <c r="Z63" s="31">
        <f>IF(T63=0,0,X63/T63)</f>
        <v>-3.8396581790678196E-2</v>
      </c>
    </row>
    <row r="64" spans="1:26" ht="15" thickTop="1" x14ac:dyDescent="0.3">
      <c r="A64" s="9"/>
      <c r="C64" s="9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3">
      <c r="A65" s="9"/>
      <c r="B65" s="59">
        <v>44470.840542939812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3">
      <c r="A66" s="9"/>
      <c r="B66" s="58" t="s">
        <v>56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3">
      <c r="A67" s="9"/>
      <c r="B67" s="52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3"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","202", " - ", "Accounting")</f>
        <v>Department 202 - Accounting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40690.089999999997</v>
      </c>
      <c r="E18" s="21"/>
      <c r="F18" s="32">
        <f t="shared" ref="F18:F27" si="0">IF(D$12=0,0,D18/D$12)</f>
        <v>0</v>
      </c>
      <c r="G18" s="21"/>
      <c r="H18" s="21">
        <f>SUM(OSRRefH22x_0)</f>
        <v>34593.850000000006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6096.2399999999907</v>
      </c>
      <c r="M18" s="4"/>
      <c r="N18" s="32">
        <f t="shared" ref="N18:N27" si="3">IF(H18=0,0,L18/H18)</f>
        <v>0.17622323042968591</v>
      </c>
      <c r="O18" s="10"/>
      <c r="P18" s="21">
        <f>SUM(OSRRefP22x_0)</f>
        <v>82291.450000000012</v>
      </c>
      <c r="Q18" s="21"/>
      <c r="R18" s="32">
        <f t="shared" ref="R18:R27" si="4">IF(P$12=0,0,P18/P$12)</f>
        <v>0</v>
      </c>
      <c r="S18" s="21"/>
      <c r="T18" s="21">
        <f>SUM(OSRRefT22x_0)</f>
        <v>73991.889999999985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8299.5600000000268</v>
      </c>
      <c r="Y18" s="4"/>
      <c r="Z18" s="32">
        <f t="shared" ref="Z18:Z27" si="7">IF(T18=0,0,X18/T18)</f>
        <v>0.11216850927851726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13032.87</v>
      </c>
      <c r="E19" s="1"/>
      <c r="F19" s="5">
        <f t="shared" si="0"/>
        <v>0</v>
      </c>
      <c r="G19" s="1"/>
      <c r="H19" s="1">
        <f>SUM(OSRRefH22_0x_0)</f>
        <v>12164.130000000001</v>
      </c>
      <c r="I19" s="1"/>
      <c r="J19" s="5">
        <f t="shared" si="1"/>
        <v>0</v>
      </c>
      <c r="K19" s="1"/>
      <c r="L19" s="1">
        <f t="shared" si="2"/>
        <v>868.73999999999978</v>
      </c>
      <c r="M19" s="1"/>
      <c r="N19" s="5">
        <f t="shared" si="3"/>
        <v>7.1418177872153599E-2</v>
      </c>
      <c r="O19" s="14"/>
      <c r="P19" s="1">
        <f>SUM(OSRRefP22_0x_0)</f>
        <v>25678.2</v>
      </c>
      <c r="Q19" s="1"/>
      <c r="R19" s="5">
        <f t="shared" si="4"/>
        <v>0</v>
      </c>
      <c r="S19" s="1"/>
      <c r="T19" s="1">
        <f>SUM(OSRRefT22_0x_0)</f>
        <v>25247.59</v>
      </c>
      <c r="U19" s="1"/>
      <c r="V19" s="5">
        <f t="shared" si="5"/>
        <v>0</v>
      </c>
      <c r="W19" s="1"/>
      <c r="X19" s="1">
        <f t="shared" si="6"/>
        <v>430.61000000000058</v>
      </c>
      <c r="Y19" s="1"/>
      <c r="Z19" s="5">
        <f t="shared" si="7"/>
        <v>1.7055489256598375E-2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1630.15</v>
      </c>
      <c r="E20" s="2"/>
      <c r="F20" s="8">
        <f t="shared" si="0"/>
        <v>0</v>
      </c>
      <c r="G20" s="2"/>
      <c r="H20" s="7">
        <v>1625.77</v>
      </c>
      <c r="I20" s="2"/>
      <c r="J20" s="8">
        <f t="shared" si="1"/>
        <v>0</v>
      </c>
      <c r="K20" s="2"/>
      <c r="L20" s="7">
        <f t="shared" si="2"/>
        <v>4.3800000000001091</v>
      </c>
      <c r="M20" s="2"/>
      <c r="N20" s="8">
        <f t="shared" si="3"/>
        <v>2.6941080226600992E-3</v>
      </c>
      <c r="O20" s="11"/>
      <c r="P20" s="7">
        <v>3254.52</v>
      </c>
      <c r="Q20" s="2"/>
      <c r="R20" s="8">
        <f t="shared" si="4"/>
        <v>0</v>
      </c>
      <c r="S20" s="2"/>
      <c r="T20" s="7">
        <v>3247.12</v>
      </c>
      <c r="U20" s="2"/>
      <c r="V20" s="8">
        <f t="shared" si="5"/>
        <v>0</v>
      </c>
      <c r="W20" s="2"/>
      <c r="X20" s="7">
        <f t="shared" si="6"/>
        <v>7.4000000000000909</v>
      </c>
      <c r="Y20" s="2"/>
      <c r="Z20" s="8">
        <f t="shared" si="7"/>
        <v>2.2789425706472477E-3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274.88</v>
      </c>
      <c r="E21" s="2"/>
      <c r="F21" s="8">
        <f t="shared" si="0"/>
        <v>0</v>
      </c>
      <c r="G21" s="2"/>
      <c r="H21" s="7">
        <v>69.989999999999995</v>
      </c>
      <c r="I21" s="2"/>
      <c r="J21" s="8">
        <f t="shared" si="1"/>
        <v>0</v>
      </c>
      <c r="K21" s="2"/>
      <c r="L21" s="7">
        <f t="shared" si="2"/>
        <v>204.89</v>
      </c>
      <c r="M21" s="2"/>
      <c r="N21" s="8">
        <f t="shared" si="3"/>
        <v>2.9274182026003714</v>
      </c>
      <c r="O21" s="11"/>
      <c r="P21" s="7">
        <v>548.79999999999995</v>
      </c>
      <c r="Q21" s="2"/>
      <c r="R21" s="8">
        <f t="shared" si="4"/>
        <v>0</v>
      </c>
      <c r="S21" s="2"/>
      <c r="T21" s="7">
        <v>140.02000000000001</v>
      </c>
      <c r="U21" s="2"/>
      <c r="V21" s="8">
        <f t="shared" si="5"/>
        <v>0</v>
      </c>
      <c r="W21" s="2"/>
      <c r="X21" s="7">
        <f t="shared" si="6"/>
        <v>408.78</v>
      </c>
      <c r="Y21" s="2"/>
      <c r="Z21" s="8">
        <f t="shared" si="7"/>
        <v>2.9194400799885725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6221.66</v>
      </c>
      <c r="E22" s="2"/>
      <c r="F22" s="8">
        <f t="shared" si="0"/>
        <v>0</v>
      </c>
      <c r="G22" s="2"/>
      <c r="H22" s="7">
        <v>5567.04</v>
      </c>
      <c r="I22" s="2"/>
      <c r="J22" s="8">
        <f t="shared" si="1"/>
        <v>0</v>
      </c>
      <c r="K22" s="2"/>
      <c r="L22" s="7">
        <f t="shared" si="2"/>
        <v>654.61999999999989</v>
      </c>
      <c r="M22" s="2"/>
      <c r="N22" s="8">
        <f t="shared" si="3"/>
        <v>0.11758852100936941</v>
      </c>
      <c r="O22" s="11"/>
      <c r="P22" s="7">
        <v>12443.32</v>
      </c>
      <c r="Q22" s="2"/>
      <c r="R22" s="8">
        <f t="shared" si="4"/>
        <v>0</v>
      </c>
      <c r="S22" s="2"/>
      <c r="T22" s="7">
        <v>11134.08</v>
      </c>
      <c r="U22" s="2"/>
      <c r="V22" s="8">
        <f t="shared" si="5"/>
        <v>0</v>
      </c>
      <c r="W22" s="2"/>
      <c r="X22" s="7">
        <f t="shared" si="6"/>
        <v>1309.2399999999998</v>
      </c>
      <c r="Y22" s="2"/>
      <c r="Z22" s="8">
        <f t="shared" si="7"/>
        <v>0.11758852100936941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55.4</v>
      </c>
      <c r="E23" s="2"/>
      <c r="F23" s="8">
        <f t="shared" si="0"/>
        <v>0</v>
      </c>
      <c r="G23" s="2"/>
      <c r="H23" s="7">
        <v>55.14</v>
      </c>
      <c r="I23" s="2"/>
      <c r="J23" s="8">
        <f t="shared" si="1"/>
        <v>0</v>
      </c>
      <c r="K23" s="2"/>
      <c r="L23" s="7">
        <f t="shared" si="2"/>
        <v>0.25999999999999801</v>
      </c>
      <c r="M23" s="2"/>
      <c r="N23" s="8">
        <f t="shared" si="3"/>
        <v>4.7152702212549516E-3</v>
      </c>
      <c r="O23" s="11"/>
      <c r="P23" s="7">
        <v>110.61</v>
      </c>
      <c r="Q23" s="2"/>
      <c r="R23" s="8">
        <f t="shared" si="4"/>
        <v>0</v>
      </c>
      <c r="S23" s="2"/>
      <c r="T23" s="7">
        <v>110.31</v>
      </c>
      <c r="U23" s="2"/>
      <c r="V23" s="8">
        <f t="shared" si="5"/>
        <v>0</v>
      </c>
      <c r="W23" s="2"/>
      <c r="X23" s="7">
        <f t="shared" si="6"/>
        <v>0.29999999999999716</v>
      </c>
      <c r="Y23" s="2"/>
      <c r="Z23" s="8">
        <f t="shared" si="7"/>
        <v>2.7196083763937734E-3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1947.91</v>
      </c>
      <c r="E24" s="2"/>
      <c r="F24" s="8">
        <f t="shared" si="0"/>
        <v>0</v>
      </c>
      <c r="G24" s="2"/>
      <c r="H24" s="7">
        <v>1978.76</v>
      </c>
      <c r="I24" s="2"/>
      <c r="J24" s="8">
        <f t="shared" si="1"/>
        <v>0</v>
      </c>
      <c r="K24" s="2"/>
      <c r="L24" s="7">
        <f t="shared" si="2"/>
        <v>-30.849999999999909</v>
      </c>
      <c r="M24" s="2"/>
      <c r="N24" s="8">
        <f t="shared" si="3"/>
        <v>-1.5590571873294341E-2</v>
      </c>
      <c r="O24" s="11"/>
      <c r="P24" s="7">
        <v>3895.82</v>
      </c>
      <c r="Q24" s="2"/>
      <c r="R24" s="8">
        <f t="shared" si="4"/>
        <v>0</v>
      </c>
      <c r="S24" s="2"/>
      <c r="T24" s="7">
        <v>4946.91</v>
      </c>
      <c r="U24" s="2"/>
      <c r="V24" s="8">
        <f t="shared" si="5"/>
        <v>0</v>
      </c>
      <c r="W24" s="2"/>
      <c r="X24" s="7">
        <f t="shared" si="6"/>
        <v>-1051.0899999999997</v>
      </c>
      <c r="Y24" s="2"/>
      <c r="Z24" s="8">
        <f t="shared" si="7"/>
        <v>-0.2124740494571358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1413.92</v>
      </c>
      <c r="E25" s="2"/>
      <c r="F25" s="8">
        <f t="shared" si="0"/>
        <v>0</v>
      </c>
      <c r="G25" s="2"/>
      <c r="H25" s="7">
        <v>1559.44</v>
      </c>
      <c r="I25" s="2"/>
      <c r="J25" s="8">
        <f t="shared" si="1"/>
        <v>0</v>
      </c>
      <c r="K25" s="2"/>
      <c r="L25" s="7">
        <f t="shared" si="2"/>
        <v>-145.51999999999998</v>
      </c>
      <c r="M25" s="2"/>
      <c r="N25" s="8">
        <f t="shared" si="3"/>
        <v>-9.3315549171497439E-2</v>
      </c>
      <c r="O25" s="11"/>
      <c r="P25" s="7">
        <v>2595.73</v>
      </c>
      <c r="Q25" s="2"/>
      <c r="R25" s="8">
        <f t="shared" si="4"/>
        <v>0</v>
      </c>
      <c r="S25" s="2"/>
      <c r="T25" s="7">
        <v>3118.88</v>
      </c>
      <c r="U25" s="2"/>
      <c r="V25" s="8">
        <f t="shared" si="5"/>
        <v>0</v>
      </c>
      <c r="W25" s="2"/>
      <c r="X25" s="7">
        <f t="shared" si="6"/>
        <v>-523.15000000000009</v>
      </c>
      <c r="Y25" s="2"/>
      <c r="Z25" s="8">
        <f t="shared" si="7"/>
        <v>-0.1677364951521059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8">
        <f t="shared" si="0"/>
        <v>0</v>
      </c>
      <c r="G26" s="2"/>
      <c r="H26" s="7">
        <v>979.42</v>
      </c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>
        <v>1958.84</v>
      </c>
      <c r="Q26" s="2"/>
      <c r="R26" s="8">
        <f t="shared" si="4"/>
        <v>0</v>
      </c>
      <c r="S26" s="2"/>
      <c r="T26" s="7">
        <v>1958.84</v>
      </c>
      <c r="U26" s="2"/>
      <c r="V26" s="8">
        <f t="shared" si="5"/>
        <v>0</v>
      </c>
      <c r="W26" s="2"/>
      <c r="X26" s="7">
        <f t="shared" si="6"/>
        <v>0</v>
      </c>
      <c r="Y26" s="2"/>
      <c r="Z26" s="8">
        <f t="shared" si="7"/>
        <v>0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509.53</v>
      </c>
      <c r="E27" s="2"/>
      <c r="F27" s="8">
        <f t="shared" si="0"/>
        <v>0</v>
      </c>
      <c r="G27" s="2"/>
      <c r="H27" s="7">
        <v>328.57</v>
      </c>
      <c r="I27" s="2"/>
      <c r="J27" s="8">
        <f t="shared" si="1"/>
        <v>0</v>
      </c>
      <c r="K27" s="2"/>
      <c r="L27" s="7">
        <f t="shared" si="2"/>
        <v>180.95999999999998</v>
      </c>
      <c r="M27" s="2"/>
      <c r="N27" s="8">
        <f t="shared" si="3"/>
        <v>0.55075022065313317</v>
      </c>
      <c r="O27" s="11"/>
      <c r="P27" s="7">
        <v>870.56</v>
      </c>
      <c r="Q27" s="2"/>
      <c r="R27" s="8">
        <f t="shared" si="4"/>
        <v>0</v>
      </c>
      <c r="S27" s="2"/>
      <c r="T27" s="7">
        <v>591.42999999999995</v>
      </c>
      <c r="U27" s="2"/>
      <c r="V27" s="8">
        <f t="shared" si="5"/>
        <v>0</v>
      </c>
      <c r="W27" s="2"/>
      <c r="X27" s="7">
        <f t="shared" si="6"/>
        <v>279.13</v>
      </c>
      <c r="Y27" s="2"/>
      <c r="Z27" s="8">
        <f t="shared" si="7"/>
        <v>0.47195779720338843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20678.22</v>
      </c>
      <c r="E28" s="1"/>
      <c r="F28" s="5">
        <f t="shared" ref="F28:F30" si="8">IF(D$12=0,0,D28/D$12)</f>
        <v>0</v>
      </c>
      <c r="G28" s="1"/>
      <c r="H28" s="1">
        <f>SUM(OSRRefH22_1x_0)</f>
        <v>19719.28</v>
      </c>
      <c r="I28" s="1"/>
      <c r="J28" s="5">
        <f t="shared" ref="J28:J30" si="9">IF(H$12=0,0,H28/H$12)</f>
        <v>0</v>
      </c>
      <c r="K28" s="1"/>
      <c r="L28" s="1">
        <f t="shared" ref="L28:L30" si="10">+D28-H28</f>
        <v>958.94000000000233</v>
      </c>
      <c r="M28" s="1"/>
      <c r="N28" s="5">
        <f t="shared" ref="N28:N30" si="11">IF(H28=0,0,L28/H28)</f>
        <v>4.8629564568280506E-2</v>
      </c>
      <c r="O28" s="14"/>
      <c r="P28" s="1">
        <f>SUM(OSRRefP22_1x_0)</f>
        <v>46918.98</v>
      </c>
      <c r="Q28" s="1"/>
      <c r="R28" s="5">
        <f t="shared" ref="R28:R30" si="12">IF(P$12=0,0,P28/P$12)</f>
        <v>0</v>
      </c>
      <c r="S28" s="1"/>
      <c r="T28" s="1">
        <f>SUM(OSRRefT22_1x_0)</f>
        <v>42695.74</v>
      </c>
      <c r="U28" s="1"/>
      <c r="V28" s="5">
        <f t="shared" ref="V28:V30" si="13">IF(T$12=0,0,T28/T$12)</f>
        <v>0</v>
      </c>
      <c r="W28" s="1"/>
      <c r="X28" s="1">
        <f t="shared" ref="X28:X30" si="14">+P28-T28</f>
        <v>4223.2400000000052</v>
      </c>
      <c r="Y28" s="1"/>
      <c r="Z28" s="5">
        <f t="shared" ref="Z28:Z30" si="15">IF(T28=0,0,X28/T28)</f>
        <v>9.8914786346366301E-2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7">
        <v>20473.22</v>
      </c>
      <c r="E29" s="2"/>
      <c r="F29" s="8">
        <f t="shared" si="8"/>
        <v>0</v>
      </c>
      <c r="G29" s="2"/>
      <c r="H29" s="7">
        <v>19633.39</v>
      </c>
      <c r="I29" s="2"/>
      <c r="J29" s="8">
        <f t="shared" si="9"/>
        <v>0</v>
      </c>
      <c r="K29" s="2"/>
      <c r="L29" s="7">
        <f t="shared" si="10"/>
        <v>839.83000000000175</v>
      </c>
      <c r="M29" s="2"/>
      <c r="N29" s="8">
        <f t="shared" si="11"/>
        <v>4.2775598100990291E-2</v>
      </c>
      <c r="O29" s="11"/>
      <c r="P29" s="7">
        <v>46713.98</v>
      </c>
      <c r="Q29" s="2"/>
      <c r="R29" s="8">
        <f t="shared" si="12"/>
        <v>0</v>
      </c>
      <c r="S29" s="2"/>
      <c r="T29" s="7">
        <v>42609.85</v>
      </c>
      <c r="U29" s="2"/>
      <c r="V29" s="8">
        <f t="shared" si="13"/>
        <v>0</v>
      </c>
      <c r="W29" s="2"/>
      <c r="X29" s="7">
        <f t="shared" si="14"/>
        <v>4104.1300000000047</v>
      </c>
      <c r="Y29" s="2"/>
      <c r="Z29" s="8">
        <f t="shared" si="15"/>
        <v>9.6318808913901474E-2</v>
      </c>
    </row>
    <row r="30" spans="1:26" s="24" customFormat="1" hidden="1" outlineLevel="2" x14ac:dyDescent="0.3">
      <c r="A30" s="27"/>
      <c r="B30" s="11" t="str">
        <f>CONCATENATE("          ", "6007", " - ", "STUDENT HOURLY")</f>
        <v xml:space="preserve">          6007 - STUDENT HOURLY</v>
      </c>
      <c r="C30" s="11"/>
      <c r="D30" s="7">
        <v>205</v>
      </c>
      <c r="E30" s="2"/>
      <c r="F30" s="8">
        <f t="shared" si="8"/>
        <v>0</v>
      </c>
      <c r="G30" s="2"/>
      <c r="H30" s="7">
        <v>85.89</v>
      </c>
      <c r="I30" s="2"/>
      <c r="J30" s="8">
        <f t="shared" si="9"/>
        <v>0</v>
      </c>
      <c r="K30" s="2"/>
      <c r="L30" s="7">
        <f t="shared" si="10"/>
        <v>119.11</v>
      </c>
      <c r="M30" s="2"/>
      <c r="N30" s="8">
        <f t="shared" si="11"/>
        <v>1.3867737804168121</v>
      </c>
      <c r="O30" s="11"/>
      <c r="P30" s="7">
        <v>205</v>
      </c>
      <c r="Q30" s="2"/>
      <c r="R30" s="8">
        <f t="shared" si="12"/>
        <v>0</v>
      </c>
      <c r="S30" s="2"/>
      <c r="T30" s="7">
        <v>85.89</v>
      </c>
      <c r="U30" s="2"/>
      <c r="V30" s="8">
        <f t="shared" si="13"/>
        <v>0</v>
      </c>
      <c r="W30" s="2"/>
      <c r="X30" s="7">
        <f t="shared" si="14"/>
        <v>119.11</v>
      </c>
      <c r="Y30" s="2"/>
      <c r="Z30" s="8">
        <f t="shared" si="15"/>
        <v>1.3867737804168121</v>
      </c>
    </row>
    <row r="31" spans="1:26" s="28" customFormat="1" outlineLevel="1" collapsed="1" x14ac:dyDescent="0.3">
      <c r="A31" s="29"/>
      <c r="B31" s="14" t="str">
        <f>CONCATENATE("     ","Depreciation                                      ")</f>
        <v xml:space="preserve">     Depreciation                                      </v>
      </c>
      <c r="C31" s="14"/>
      <c r="D31" s="1">
        <f>SUM(OSRRefD22_2x_0)</f>
        <v>1558.88</v>
      </c>
      <c r="E31" s="1"/>
      <c r="F31" s="5">
        <f t="shared" ref="F31:F37" si="16">IF(D$12=0,0,D31/D$12)</f>
        <v>0</v>
      </c>
      <c r="G31" s="1"/>
      <c r="H31" s="1">
        <f>SUM(OSRRefH22_2x_0)</f>
        <v>1558.88</v>
      </c>
      <c r="I31" s="1"/>
      <c r="J31" s="5">
        <f t="shared" ref="J31:J37" si="17">IF(H$12=0,0,H31/H$12)</f>
        <v>0</v>
      </c>
      <c r="K31" s="1"/>
      <c r="L31" s="1">
        <f t="shared" ref="L31:L37" si="18">+D31-H31</f>
        <v>0</v>
      </c>
      <c r="M31" s="1"/>
      <c r="N31" s="5">
        <f t="shared" ref="N31:N37" si="19">IF(H31=0,0,L31/H31)</f>
        <v>0</v>
      </c>
      <c r="O31" s="14"/>
      <c r="P31" s="1">
        <f>SUM(OSRRefP22_2x_0)</f>
        <v>3117.76</v>
      </c>
      <c r="Q31" s="1"/>
      <c r="R31" s="5">
        <f t="shared" ref="R31:R37" si="20">IF(P$12=0,0,P31/P$12)</f>
        <v>0</v>
      </c>
      <c r="S31" s="1"/>
      <c r="T31" s="1">
        <f>SUM(OSRRefT22_2x_0)</f>
        <v>3117.76</v>
      </c>
      <c r="U31" s="1"/>
      <c r="V31" s="5">
        <f t="shared" ref="V31:V37" si="21">IF(T$12=0,0,T31/T$12)</f>
        <v>0</v>
      </c>
      <c r="W31" s="1"/>
      <c r="X31" s="1">
        <f t="shared" ref="X31:X37" si="22">+P31-T31</f>
        <v>0</v>
      </c>
      <c r="Y31" s="1"/>
      <c r="Z31" s="5">
        <f t="shared" ref="Z31:Z37" si="23">IF(T31=0,0,X31/T31)</f>
        <v>0</v>
      </c>
    </row>
    <row r="32" spans="1:26" s="24" customFormat="1" hidden="1" outlineLevel="2" x14ac:dyDescent="0.3">
      <c r="A32" s="27"/>
      <c r="B32" s="11" t="str">
        <f>CONCATENATE("          ", "6322", " - ", "EQUIPMENT DEPRECIATION EXPENSE")</f>
        <v xml:space="preserve">          6322 - EQUIPMENT DEPRECIATION EXPENSE</v>
      </c>
      <c r="C32" s="11"/>
      <c r="D32" s="7">
        <v>1558.88</v>
      </c>
      <c r="E32" s="2"/>
      <c r="F32" s="8">
        <f t="shared" si="16"/>
        <v>0</v>
      </c>
      <c r="G32" s="2"/>
      <c r="H32" s="7">
        <v>1558.88</v>
      </c>
      <c r="I32" s="2"/>
      <c r="J32" s="8">
        <f t="shared" si="17"/>
        <v>0</v>
      </c>
      <c r="K32" s="2"/>
      <c r="L32" s="7">
        <f t="shared" si="18"/>
        <v>0</v>
      </c>
      <c r="M32" s="2"/>
      <c r="N32" s="8">
        <f t="shared" si="19"/>
        <v>0</v>
      </c>
      <c r="O32" s="11"/>
      <c r="P32" s="7">
        <v>3117.76</v>
      </c>
      <c r="Q32" s="2"/>
      <c r="R32" s="8">
        <f t="shared" si="20"/>
        <v>0</v>
      </c>
      <c r="S32" s="2"/>
      <c r="T32" s="7">
        <v>3117.76</v>
      </c>
      <c r="U32" s="2"/>
      <c r="V32" s="8">
        <f t="shared" si="21"/>
        <v>0</v>
      </c>
      <c r="W32" s="2"/>
      <c r="X32" s="7">
        <f t="shared" si="22"/>
        <v>0</v>
      </c>
      <c r="Y32" s="2"/>
      <c r="Z32" s="8">
        <f t="shared" si="23"/>
        <v>0</v>
      </c>
    </row>
    <row r="33" spans="1:26" s="28" customFormat="1" outlineLevel="1" collapsed="1" x14ac:dyDescent="0.3">
      <c r="A33" s="29"/>
      <c r="B33" s="14" t="str">
        <f>CONCATENATE("     ","Equipment Rental                                  ")</f>
        <v xml:space="preserve">     Equipment Rental                                  </v>
      </c>
      <c r="C33" s="14"/>
      <c r="D33" s="1">
        <f>SUM(OSRRefD22_3x_0)</f>
        <v>91.26</v>
      </c>
      <c r="E33" s="1"/>
      <c r="F33" s="5">
        <f t="shared" si="16"/>
        <v>0</v>
      </c>
      <c r="G33" s="1"/>
      <c r="H33" s="1">
        <f>SUM(OSRRefH22_3x_0)</f>
        <v>91.26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182.52</v>
      </c>
      <c r="Q33" s="1"/>
      <c r="R33" s="5">
        <f t="shared" si="20"/>
        <v>0</v>
      </c>
      <c r="S33" s="1"/>
      <c r="T33" s="1">
        <f>SUM(OSRRefT22_3x_0)</f>
        <v>182.52</v>
      </c>
      <c r="U33" s="1"/>
      <c r="V33" s="5">
        <f t="shared" si="21"/>
        <v>0</v>
      </c>
      <c r="W33" s="1"/>
      <c r="X33" s="1">
        <f t="shared" si="22"/>
        <v>0</v>
      </c>
      <c r="Y33" s="1"/>
      <c r="Z33" s="5">
        <f t="shared" si="23"/>
        <v>0</v>
      </c>
    </row>
    <row r="34" spans="1:26" s="24" customFormat="1" hidden="1" outlineLevel="2" x14ac:dyDescent="0.3">
      <c r="A34" s="27"/>
      <c r="B34" s="11" t="str">
        <f>CONCATENATE("          ", "6351", " - ", "EQUIPMENT RENTAL")</f>
        <v xml:space="preserve">          6351 - EQUIPMENT RENTAL</v>
      </c>
      <c r="C34" s="11"/>
      <c r="D34" s="7">
        <v>91.26</v>
      </c>
      <c r="E34" s="2"/>
      <c r="F34" s="8">
        <f t="shared" si="16"/>
        <v>0</v>
      </c>
      <c r="G34" s="2"/>
      <c r="H34" s="7">
        <v>91.26</v>
      </c>
      <c r="I34" s="2"/>
      <c r="J34" s="8">
        <f t="shared" si="17"/>
        <v>0</v>
      </c>
      <c r="K34" s="2"/>
      <c r="L34" s="7">
        <f t="shared" si="18"/>
        <v>0</v>
      </c>
      <c r="M34" s="2"/>
      <c r="N34" s="8">
        <f t="shared" si="19"/>
        <v>0</v>
      </c>
      <c r="O34" s="11"/>
      <c r="P34" s="7">
        <v>182.52</v>
      </c>
      <c r="Q34" s="2"/>
      <c r="R34" s="8">
        <f t="shared" si="20"/>
        <v>0</v>
      </c>
      <c r="S34" s="2"/>
      <c r="T34" s="7">
        <v>182.52</v>
      </c>
      <c r="U34" s="2"/>
      <c r="V34" s="8">
        <f t="shared" si="21"/>
        <v>0</v>
      </c>
      <c r="W34" s="2"/>
      <c r="X34" s="7">
        <f t="shared" si="22"/>
        <v>0</v>
      </c>
      <c r="Y34" s="2"/>
      <c r="Z34" s="8">
        <f t="shared" si="23"/>
        <v>0</v>
      </c>
    </row>
    <row r="35" spans="1:26" s="28" customFormat="1" outlineLevel="1" collapsed="1" x14ac:dyDescent="0.3">
      <c r="A35" s="29"/>
      <c r="B35" s="14" t="str">
        <f>CONCATENATE("     ","Freight out/Postage                               ")</f>
        <v xml:space="preserve">     Freight out/Postage                               </v>
      </c>
      <c r="C35" s="14"/>
      <c r="D35" s="1">
        <f>SUM(OSRRefD22_4x_0)</f>
        <v>108.63</v>
      </c>
      <c r="E35" s="1"/>
      <c r="F35" s="5">
        <f t="shared" si="16"/>
        <v>0</v>
      </c>
      <c r="G35" s="1"/>
      <c r="H35" s="1">
        <f>SUM(OSRRefH22_4x_0)</f>
        <v>137.85999999999999</v>
      </c>
      <c r="I35" s="1"/>
      <c r="J35" s="5">
        <f t="shared" si="17"/>
        <v>0</v>
      </c>
      <c r="K35" s="1"/>
      <c r="L35" s="1">
        <f t="shared" si="18"/>
        <v>-29.22999999999999</v>
      </c>
      <c r="M35" s="1"/>
      <c r="N35" s="5">
        <f t="shared" si="19"/>
        <v>-0.21202669374727981</v>
      </c>
      <c r="O35" s="14"/>
      <c r="P35" s="1">
        <f>SUM(OSRRefP22_4x_0)</f>
        <v>196.75</v>
      </c>
      <c r="Q35" s="1"/>
      <c r="R35" s="5">
        <f t="shared" si="20"/>
        <v>0</v>
      </c>
      <c r="S35" s="1"/>
      <c r="T35" s="1">
        <f>SUM(OSRRefT22_4x_0)</f>
        <v>218.35999999999999</v>
      </c>
      <c r="U35" s="1"/>
      <c r="V35" s="5">
        <f t="shared" si="21"/>
        <v>0</v>
      </c>
      <c r="W35" s="1"/>
      <c r="X35" s="1">
        <f t="shared" si="22"/>
        <v>-21.609999999999985</v>
      </c>
      <c r="Y35" s="1"/>
      <c r="Z35" s="5">
        <f t="shared" si="23"/>
        <v>-9.8965011906942596E-2</v>
      </c>
    </row>
    <row r="36" spans="1:26" s="24" customFormat="1" hidden="1" outlineLevel="2" x14ac:dyDescent="0.3">
      <c r="A36" s="27"/>
      <c r="B36" s="11" t="str">
        <f>CONCATENATE("          ", "6305", " - ", "FREIGHT OUT")</f>
        <v xml:space="preserve">          6305 - FREIGHT OUT</v>
      </c>
      <c r="C36" s="11"/>
      <c r="D36" s="7"/>
      <c r="E36" s="2"/>
      <c r="F36" s="8">
        <f t="shared" si="16"/>
        <v>0</v>
      </c>
      <c r="G36" s="2"/>
      <c r="H36" s="7">
        <v>5.41</v>
      </c>
      <c r="I36" s="2"/>
      <c r="J36" s="8">
        <f t="shared" si="17"/>
        <v>0</v>
      </c>
      <c r="K36" s="2"/>
      <c r="L36" s="7">
        <f t="shared" si="18"/>
        <v>-5.41</v>
      </c>
      <c r="M36" s="2"/>
      <c r="N36" s="8">
        <f t="shared" si="19"/>
        <v>-1</v>
      </c>
      <c r="O36" s="11"/>
      <c r="P36" s="7"/>
      <c r="Q36" s="2"/>
      <c r="R36" s="8">
        <f t="shared" si="20"/>
        <v>0</v>
      </c>
      <c r="S36" s="2"/>
      <c r="T36" s="7">
        <v>5.41</v>
      </c>
      <c r="U36" s="2"/>
      <c r="V36" s="8">
        <f t="shared" si="21"/>
        <v>0</v>
      </c>
      <c r="W36" s="2"/>
      <c r="X36" s="7">
        <f t="shared" si="22"/>
        <v>-5.41</v>
      </c>
      <c r="Y36" s="2"/>
      <c r="Z36" s="8">
        <f t="shared" si="23"/>
        <v>-1</v>
      </c>
    </row>
    <row r="37" spans="1:26" s="24" customFormat="1" hidden="1" outlineLevel="2" x14ac:dyDescent="0.3">
      <c r="A37" s="27"/>
      <c r="B37" s="11" t="str">
        <f>CONCATENATE("          ", "6307", " - ", "POSTAGE")</f>
        <v xml:space="preserve">          6307 - POSTAGE</v>
      </c>
      <c r="C37" s="11"/>
      <c r="D37" s="7">
        <v>108.63</v>
      </c>
      <c r="E37" s="2"/>
      <c r="F37" s="8">
        <f t="shared" si="16"/>
        <v>0</v>
      </c>
      <c r="G37" s="2"/>
      <c r="H37" s="7">
        <v>132.44999999999999</v>
      </c>
      <c r="I37" s="2"/>
      <c r="J37" s="8">
        <f t="shared" si="17"/>
        <v>0</v>
      </c>
      <c r="K37" s="2"/>
      <c r="L37" s="7">
        <f t="shared" si="18"/>
        <v>-23.819999999999993</v>
      </c>
      <c r="M37" s="2"/>
      <c r="N37" s="8">
        <f t="shared" si="19"/>
        <v>-0.17984144960362397</v>
      </c>
      <c r="O37" s="11"/>
      <c r="P37" s="7">
        <v>196.75</v>
      </c>
      <c r="Q37" s="2"/>
      <c r="R37" s="8">
        <f t="shared" si="20"/>
        <v>0</v>
      </c>
      <c r="S37" s="2"/>
      <c r="T37" s="7">
        <v>212.95</v>
      </c>
      <c r="U37" s="2"/>
      <c r="V37" s="8">
        <f t="shared" si="21"/>
        <v>0</v>
      </c>
      <c r="W37" s="2"/>
      <c r="X37" s="7">
        <f t="shared" si="22"/>
        <v>-16.199999999999989</v>
      </c>
      <c r="Y37" s="2"/>
      <c r="Z37" s="8">
        <f t="shared" si="23"/>
        <v>-7.6074195820615115E-2</v>
      </c>
    </row>
    <row r="38" spans="1:26" s="28" customFormat="1" outlineLevel="1" collapsed="1" x14ac:dyDescent="0.3">
      <c r="A38" s="29"/>
      <c r="B38" s="14" t="str">
        <f>CONCATENATE("     ","Insurance                                         ")</f>
        <v xml:space="preserve">     Insurance                                         </v>
      </c>
      <c r="C38" s="14"/>
      <c r="D38" s="1">
        <f>SUM(OSRRefD22_5x_0)</f>
        <v>179.64</v>
      </c>
      <c r="E38" s="1"/>
      <c r="F38" s="5">
        <f t="shared" ref="F38:F43" si="24">IF(D$12=0,0,D38/D$12)</f>
        <v>0</v>
      </c>
      <c r="G38" s="1"/>
      <c r="H38" s="1">
        <f>SUM(OSRRefH22_5x_0)</f>
        <v>132.16999999999999</v>
      </c>
      <c r="I38" s="1"/>
      <c r="J38" s="5">
        <f t="shared" ref="J38:J43" si="25">IF(H$12=0,0,H38/H$12)</f>
        <v>0</v>
      </c>
      <c r="K38" s="1"/>
      <c r="L38" s="1">
        <f t="shared" ref="L38:L43" si="26">+D38-H38</f>
        <v>47.47</v>
      </c>
      <c r="M38" s="1"/>
      <c r="N38" s="5">
        <f t="shared" ref="N38:N43" si="27">IF(H38=0,0,L38/H38)</f>
        <v>0.35915865930241359</v>
      </c>
      <c r="O38" s="14"/>
      <c r="P38" s="1">
        <f>SUM(OSRRefP22_5x_0)</f>
        <v>359.28</v>
      </c>
      <c r="Q38" s="1"/>
      <c r="R38" s="5">
        <f t="shared" ref="R38:R43" si="28">IF(P$12=0,0,P38/P$12)</f>
        <v>0</v>
      </c>
      <c r="S38" s="1"/>
      <c r="T38" s="1">
        <f>SUM(OSRRefT22_5x_0)</f>
        <v>264.33999999999997</v>
      </c>
      <c r="U38" s="1"/>
      <c r="V38" s="5">
        <f t="shared" ref="V38:V43" si="29">IF(T$12=0,0,T38/T$12)</f>
        <v>0</v>
      </c>
      <c r="W38" s="1"/>
      <c r="X38" s="1">
        <f t="shared" ref="X38:X43" si="30">+P38-T38</f>
        <v>94.94</v>
      </c>
      <c r="Y38" s="1"/>
      <c r="Z38" s="5">
        <f t="shared" ref="Z38:Z43" si="31">IF(T38=0,0,X38/T38)</f>
        <v>0.35915865930241359</v>
      </c>
    </row>
    <row r="39" spans="1:26" s="24" customFormat="1" hidden="1" outlineLevel="2" x14ac:dyDescent="0.3">
      <c r="A39" s="27"/>
      <c r="B39" s="11" t="str">
        <f>CONCATENATE("          ", "6314", " - ", "LIABILITY INSURANCE")</f>
        <v xml:space="preserve">          6314 - LIABILITY INSURANCE</v>
      </c>
      <c r="C39" s="11"/>
      <c r="D39" s="7">
        <v>179.64</v>
      </c>
      <c r="E39" s="2"/>
      <c r="F39" s="8">
        <f t="shared" si="24"/>
        <v>0</v>
      </c>
      <c r="G39" s="2"/>
      <c r="H39" s="7">
        <v>132.16999999999999</v>
      </c>
      <c r="I39" s="2"/>
      <c r="J39" s="8">
        <f t="shared" si="25"/>
        <v>0</v>
      </c>
      <c r="K39" s="2"/>
      <c r="L39" s="7">
        <f t="shared" si="26"/>
        <v>47.47</v>
      </c>
      <c r="M39" s="2"/>
      <c r="N39" s="8">
        <f t="shared" si="27"/>
        <v>0.35915865930241359</v>
      </c>
      <c r="O39" s="11"/>
      <c r="P39" s="7">
        <v>359.28</v>
      </c>
      <c r="Q39" s="2"/>
      <c r="R39" s="8">
        <f t="shared" si="28"/>
        <v>0</v>
      </c>
      <c r="S39" s="2"/>
      <c r="T39" s="7">
        <v>264.33999999999997</v>
      </c>
      <c r="U39" s="2"/>
      <c r="V39" s="8">
        <f t="shared" si="29"/>
        <v>0</v>
      </c>
      <c r="W39" s="2"/>
      <c r="X39" s="7">
        <f t="shared" si="30"/>
        <v>94.94</v>
      </c>
      <c r="Y39" s="2"/>
      <c r="Z39" s="8">
        <f t="shared" si="31"/>
        <v>0.35915865930241359</v>
      </c>
    </row>
    <row r="40" spans="1:26" s="28" customFormat="1" outlineLevel="1" collapsed="1" x14ac:dyDescent="0.3">
      <c r="A40" s="29"/>
      <c r="B40" s="14" t="str">
        <f>CONCATENATE("     ","Repair and Maintenance                            ")</f>
        <v xml:space="preserve">     Repair and Maintenance                            </v>
      </c>
      <c r="C40" s="14"/>
      <c r="D40" s="1">
        <f>SUM(OSRRefD22_6x_0)</f>
        <v>1617.51</v>
      </c>
      <c r="E40" s="1"/>
      <c r="F40" s="5">
        <f t="shared" si="24"/>
        <v>0</v>
      </c>
      <c r="G40" s="1"/>
      <c r="H40" s="1">
        <f>SUM(OSRRefH22_6x_0)</f>
        <v>266.2</v>
      </c>
      <c r="I40" s="1"/>
      <c r="J40" s="5">
        <f t="shared" si="25"/>
        <v>0</v>
      </c>
      <c r="K40" s="1"/>
      <c r="L40" s="1">
        <f t="shared" si="26"/>
        <v>1351.31</v>
      </c>
      <c r="M40" s="1"/>
      <c r="N40" s="5">
        <f t="shared" si="27"/>
        <v>5.0762960180315551</v>
      </c>
      <c r="O40" s="14"/>
      <c r="P40" s="1">
        <f>SUM(OSRRefP22_6x_0)</f>
        <v>1677.46</v>
      </c>
      <c r="Q40" s="1"/>
      <c r="R40" s="5">
        <f t="shared" si="28"/>
        <v>0</v>
      </c>
      <c r="S40" s="1"/>
      <c r="T40" s="1">
        <f>SUM(OSRRefT22_6x_0)</f>
        <v>336.03999999999996</v>
      </c>
      <c r="U40" s="1"/>
      <c r="V40" s="5">
        <f t="shared" si="29"/>
        <v>0</v>
      </c>
      <c r="W40" s="1"/>
      <c r="X40" s="1">
        <f t="shared" si="30"/>
        <v>1341.42</v>
      </c>
      <c r="Y40" s="1"/>
      <c r="Z40" s="5">
        <f t="shared" si="31"/>
        <v>3.9918462087846693</v>
      </c>
    </row>
    <row r="41" spans="1:26" s="24" customFormat="1" hidden="1" outlineLevel="2" x14ac:dyDescent="0.3">
      <c r="A41" s="27"/>
      <c r="B41" s="11" t="str">
        <f>CONCATENATE("          ", "6371", " - ", "COMPUTER SOFTWARE MAINTENANCE")</f>
        <v xml:space="preserve">          6371 - COMPUTER SOFTWARE MAINTENANCE</v>
      </c>
      <c r="C41" s="11"/>
      <c r="D41" s="7">
        <v>59.95</v>
      </c>
      <c r="E41" s="2"/>
      <c r="F41" s="8">
        <f t="shared" si="24"/>
        <v>0</v>
      </c>
      <c r="G41" s="2"/>
      <c r="H41" s="7">
        <v>266.2</v>
      </c>
      <c r="I41" s="2"/>
      <c r="J41" s="8">
        <f t="shared" si="25"/>
        <v>0</v>
      </c>
      <c r="K41" s="2"/>
      <c r="L41" s="7">
        <f t="shared" si="26"/>
        <v>-206.25</v>
      </c>
      <c r="M41" s="2"/>
      <c r="N41" s="8">
        <f t="shared" si="27"/>
        <v>-0.77479338842975209</v>
      </c>
      <c r="O41" s="11"/>
      <c r="P41" s="7">
        <v>119.9</v>
      </c>
      <c r="Q41" s="2"/>
      <c r="R41" s="8">
        <f t="shared" si="28"/>
        <v>0</v>
      </c>
      <c r="S41" s="2"/>
      <c r="T41" s="7">
        <v>326.14999999999998</v>
      </c>
      <c r="U41" s="2"/>
      <c r="V41" s="8">
        <f t="shared" si="29"/>
        <v>0</v>
      </c>
      <c r="W41" s="2"/>
      <c r="X41" s="7">
        <f t="shared" si="30"/>
        <v>-206.24999999999997</v>
      </c>
      <c r="Y41" s="2"/>
      <c r="Z41" s="8">
        <f t="shared" si="31"/>
        <v>-0.63237774030354132</v>
      </c>
    </row>
    <row r="42" spans="1:26" s="24" customFormat="1" hidden="1" outlineLevel="2" x14ac:dyDescent="0.3">
      <c r="A42" s="27"/>
      <c r="B42" s="11" t="str">
        <f>CONCATENATE("          ", "6373", " - ", "MAINTENANCE CONTRACTS")</f>
        <v xml:space="preserve">          6373 - MAINTENANCE CONTRACTS</v>
      </c>
      <c r="C42" s="11"/>
      <c r="D42" s="7"/>
      <c r="E42" s="2"/>
      <c r="F42" s="8">
        <f t="shared" si="24"/>
        <v>0</v>
      </c>
      <c r="G42" s="2"/>
      <c r="H42" s="7"/>
      <c r="I42" s="2"/>
      <c r="J42" s="8">
        <f t="shared" si="25"/>
        <v>0</v>
      </c>
      <c r="K42" s="2"/>
      <c r="L42" s="7">
        <f t="shared" si="26"/>
        <v>0</v>
      </c>
      <c r="M42" s="2"/>
      <c r="N42" s="8">
        <f t="shared" si="27"/>
        <v>0</v>
      </c>
      <c r="O42" s="11"/>
      <c r="P42" s="7"/>
      <c r="Q42" s="2"/>
      <c r="R42" s="8">
        <f t="shared" si="28"/>
        <v>0</v>
      </c>
      <c r="S42" s="2"/>
      <c r="T42" s="7">
        <v>9.89</v>
      </c>
      <c r="U42" s="2"/>
      <c r="V42" s="8">
        <f t="shared" si="29"/>
        <v>0</v>
      </c>
      <c r="W42" s="2"/>
      <c r="X42" s="7">
        <f t="shared" si="30"/>
        <v>-9.89</v>
      </c>
      <c r="Y42" s="2"/>
      <c r="Z42" s="8">
        <f t="shared" si="31"/>
        <v>-1</v>
      </c>
    </row>
    <row r="43" spans="1:26" s="24" customFormat="1" hidden="1" outlineLevel="2" x14ac:dyDescent="0.3">
      <c r="A43" s="27"/>
      <c r="B43" s="11" t="str">
        <f>CONCATENATE("          ", "6375", " - ", "OUTSIDE REPAIRS &amp; MAINTENANCE")</f>
        <v xml:space="preserve">          6375 - OUTSIDE REPAIRS &amp; MAINTENANCE</v>
      </c>
      <c r="C43" s="11"/>
      <c r="D43" s="7">
        <v>1557.56</v>
      </c>
      <c r="E43" s="2"/>
      <c r="F43" s="8">
        <f t="shared" si="24"/>
        <v>0</v>
      </c>
      <c r="G43" s="2"/>
      <c r="H43" s="7"/>
      <c r="I43" s="2"/>
      <c r="J43" s="8">
        <f t="shared" si="25"/>
        <v>0</v>
      </c>
      <c r="K43" s="2"/>
      <c r="L43" s="7">
        <f t="shared" si="26"/>
        <v>1557.56</v>
      </c>
      <c r="M43" s="2"/>
      <c r="N43" s="8">
        <f t="shared" si="27"/>
        <v>0</v>
      </c>
      <c r="O43" s="11"/>
      <c r="P43" s="7">
        <v>1557.56</v>
      </c>
      <c r="Q43" s="2"/>
      <c r="R43" s="8">
        <f t="shared" si="28"/>
        <v>0</v>
      </c>
      <c r="S43" s="2"/>
      <c r="T43" s="7"/>
      <c r="U43" s="2"/>
      <c r="V43" s="8">
        <f t="shared" si="29"/>
        <v>0</v>
      </c>
      <c r="W43" s="2"/>
      <c r="X43" s="7">
        <f t="shared" si="30"/>
        <v>1557.56</v>
      </c>
      <c r="Y43" s="2"/>
      <c r="Z43" s="8">
        <f t="shared" si="31"/>
        <v>0</v>
      </c>
    </row>
    <row r="44" spans="1:26" s="28" customFormat="1" outlineLevel="1" collapsed="1" x14ac:dyDescent="0.3">
      <c r="A44" s="29"/>
      <c r="B44" s="14" t="str">
        <f>CONCATENATE("     ","Services                                          ")</f>
        <v xml:space="preserve">     Services                                          </v>
      </c>
      <c r="C44" s="14"/>
      <c r="D44" s="1">
        <f>SUM(OSRRefD22_7x_0)</f>
        <v>1367.89</v>
      </c>
      <c r="E44" s="1"/>
      <c r="F44" s="5">
        <f t="shared" ref="F44:F48" si="32">IF(D$12=0,0,D44/D$12)</f>
        <v>0</v>
      </c>
      <c r="G44" s="1"/>
      <c r="H44" s="1">
        <f>SUM(OSRRefH22_7x_0)</f>
        <v>0</v>
      </c>
      <c r="I44" s="1"/>
      <c r="J44" s="5">
        <f t="shared" ref="J44:J48" si="33">IF(H$12=0,0,H44/H$12)</f>
        <v>0</v>
      </c>
      <c r="K44" s="1"/>
      <c r="L44" s="1">
        <f t="shared" ref="L44:L48" si="34">+D44-H44</f>
        <v>1367.89</v>
      </c>
      <c r="M44" s="1"/>
      <c r="N44" s="5">
        <f t="shared" ref="N44:N48" si="35">IF(H44=0,0,L44/H44)</f>
        <v>0</v>
      </c>
      <c r="O44" s="14"/>
      <c r="P44" s="1">
        <f>SUM(OSRRefP22_7x_0)</f>
        <v>1367.89</v>
      </c>
      <c r="Q44" s="1"/>
      <c r="R44" s="5">
        <f t="shared" ref="R44:R48" si="36">IF(P$12=0,0,P44/P$12)</f>
        <v>0</v>
      </c>
      <c r="S44" s="1"/>
      <c r="T44" s="1">
        <f>SUM(OSRRefT22_7x_0)</f>
        <v>512.48</v>
      </c>
      <c r="U44" s="1"/>
      <c r="V44" s="5">
        <f t="shared" ref="V44:V48" si="37">IF(T$12=0,0,T44/T$12)</f>
        <v>0</v>
      </c>
      <c r="W44" s="1"/>
      <c r="X44" s="1">
        <f t="shared" ref="X44:X48" si="38">+P44-T44</f>
        <v>855.41000000000008</v>
      </c>
      <c r="Y44" s="1"/>
      <c r="Z44" s="5">
        <f t="shared" ref="Z44:Z48" si="39">IF(T44=0,0,X44/T44)</f>
        <v>1.6691578207930067</v>
      </c>
    </row>
    <row r="45" spans="1:26" s="24" customFormat="1" hidden="1" outlineLevel="2" x14ac:dyDescent="0.3">
      <c r="A45" s="27"/>
      <c r="B45" s="11" t="str">
        <f>CONCATENATE("          ", "6281", " - ", "STORAGE FEE")</f>
        <v xml:space="preserve">          6281 - STORAGE FEE</v>
      </c>
      <c r="C45" s="11"/>
      <c r="D45" s="7">
        <v>1367.89</v>
      </c>
      <c r="E45" s="2"/>
      <c r="F45" s="8">
        <f t="shared" si="32"/>
        <v>0</v>
      </c>
      <c r="G45" s="2"/>
      <c r="H45" s="7"/>
      <c r="I45" s="2"/>
      <c r="J45" s="8">
        <f t="shared" si="33"/>
        <v>0</v>
      </c>
      <c r="K45" s="2"/>
      <c r="L45" s="7">
        <f t="shared" si="34"/>
        <v>1367.89</v>
      </c>
      <c r="M45" s="2"/>
      <c r="N45" s="8">
        <f t="shared" si="35"/>
        <v>0</v>
      </c>
      <c r="O45" s="11"/>
      <c r="P45" s="7">
        <v>1367.89</v>
      </c>
      <c r="Q45" s="2"/>
      <c r="R45" s="8">
        <f t="shared" si="36"/>
        <v>0</v>
      </c>
      <c r="S45" s="2"/>
      <c r="T45" s="7">
        <v>512.48</v>
      </c>
      <c r="U45" s="2"/>
      <c r="V45" s="8">
        <f t="shared" si="37"/>
        <v>0</v>
      </c>
      <c r="W45" s="2"/>
      <c r="X45" s="7">
        <f t="shared" si="38"/>
        <v>855.41000000000008</v>
      </c>
      <c r="Y45" s="2"/>
      <c r="Z45" s="8">
        <f t="shared" si="39"/>
        <v>1.6691578207930067</v>
      </c>
    </row>
    <row r="46" spans="1:26" s="28" customFormat="1" outlineLevel="1" collapsed="1" x14ac:dyDescent="0.3">
      <c r="A46" s="29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SUM(OSRRefD22_8x_0)</f>
        <v>1036.44</v>
      </c>
      <c r="E46" s="1"/>
      <c r="F46" s="5">
        <f t="shared" si="32"/>
        <v>0</v>
      </c>
      <c r="G46" s="1"/>
      <c r="H46" s="1">
        <f>SUM(OSRRefH22_8x_0)</f>
        <v>96.12</v>
      </c>
      <c r="I46" s="1"/>
      <c r="J46" s="5">
        <f t="shared" si="33"/>
        <v>0</v>
      </c>
      <c r="K46" s="1"/>
      <c r="L46" s="1">
        <f t="shared" si="34"/>
        <v>940.32</v>
      </c>
      <c r="M46" s="1"/>
      <c r="N46" s="5">
        <f t="shared" si="35"/>
        <v>9.7827715355805243</v>
      </c>
      <c r="O46" s="14"/>
      <c r="P46" s="1">
        <f>SUM(OSRRefP22_8x_0)</f>
        <v>1308.6600000000001</v>
      </c>
      <c r="Q46" s="1"/>
      <c r="R46" s="5">
        <f t="shared" si="36"/>
        <v>0</v>
      </c>
      <c r="S46" s="1"/>
      <c r="T46" s="1">
        <f>SUM(OSRRefT22_8x_0)</f>
        <v>558.06000000000006</v>
      </c>
      <c r="U46" s="1"/>
      <c r="V46" s="5">
        <f t="shared" si="37"/>
        <v>0</v>
      </c>
      <c r="W46" s="1"/>
      <c r="X46" s="1">
        <f t="shared" si="38"/>
        <v>750.6</v>
      </c>
      <c r="Y46" s="1"/>
      <c r="Z46" s="5">
        <f t="shared" si="39"/>
        <v>1.3450166648747446</v>
      </c>
    </row>
    <row r="47" spans="1:26" s="24" customFormat="1" hidden="1" outlineLevel="2" x14ac:dyDescent="0.3">
      <c r="A47" s="27"/>
      <c r="B47" s="11" t="str">
        <f>CONCATENATE("          ", "6235", " - ", "COVID-19 EXPENSES")</f>
        <v xml:space="preserve">          6235 - COVID-19 EXPENSES</v>
      </c>
      <c r="C47" s="11"/>
      <c r="D47" s="7"/>
      <c r="E47" s="2"/>
      <c r="F47" s="8">
        <f t="shared" si="32"/>
        <v>0</v>
      </c>
      <c r="G47" s="2"/>
      <c r="H47" s="7"/>
      <c r="I47" s="2"/>
      <c r="J47" s="8">
        <f t="shared" si="33"/>
        <v>0</v>
      </c>
      <c r="K47" s="2"/>
      <c r="L47" s="7">
        <f t="shared" si="34"/>
        <v>0</v>
      </c>
      <c r="M47" s="2"/>
      <c r="N47" s="8">
        <f t="shared" si="35"/>
        <v>0</v>
      </c>
      <c r="O47" s="11"/>
      <c r="P47" s="7"/>
      <c r="Q47" s="2"/>
      <c r="R47" s="8">
        <f t="shared" si="36"/>
        <v>0</v>
      </c>
      <c r="S47" s="2"/>
      <c r="T47" s="7">
        <v>426.66</v>
      </c>
      <c r="U47" s="2"/>
      <c r="V47" s="8">
        <f t="shared" si="37"/>
        <v>0</v>
      </c>
      <c r="W47" s="2"/>
      <c r="X47" s="7">
        <f t="shared" si="38"/>
        <v>-426.66</v>
      </c>
      <c r="Y47" s="2"/>
      <c r="Z47" s="8">
        <f t="shared" si="39"/>
        <v>-1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7">
        <v>1036.44</v>
      </c>
      <c r="E48" s="2"/>
      <c r="F48" s="8">
        <f t="shared" si="32"/>
        <v>0</v>
      </c>
      <c r="G48" s="2"/>
      <c r="H48" s="7">
        <v>96.12</v>
      </c>
      <c r="I48" s="2"/>
      <c r="J48" s="8">
        <f t="shared" si="33"/>
        <v>0</v>
      </c>
      <c r="K48" s="2"/>
      <c r="L48" s="7">
        <f t="shared" si="34"/>
        <v>940.32</v>
      </c>
      <c r="M48" s="2"/>
      <c r="N48" s="8">
        <f t="shared" si="35"/>
        <v>9.7827715355805243</v>
      </c>
      <c r="O48" s="11"/>
      <c r="P48" s="7">
        <v>1308.6600000000001</v>
      </c>
      <c r="Q48" s="2"/>
      <c r="R48" s="8">
        <f t="shared" si="36"/>
        <v>0</v>
      </c>
      <c r="S48" s="2"/>
      <c r="T48" s="7">
        <v>131.4</v>
      </c>
      <c r="U48" s="2"/>
      <c r="V48" s="8">
        <f t="shared" si="37"/>
        <v>0</v>
      </c>
      <c r="W48" s="2"/>
      <c r="X48" s="7">
        <f t="shared" si="38"/>
        <v>1177.26</v>
      </c>
      <c r="Y48" s="2"/>
      <c r="Z48" s="8">
        <f t="shared" si="39"/>
        <v>8.9593607305936072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SUM(OSRRefD22_9x_0)</f>
        <v>423.75</v>
      </c>
      <c r="E49" s="1"/>
      <c r="F49" s="5">
        <f t="shared" ref="F49:F54" si="40">IF(D$12=0,0,D49/D$12)</f>
        <v>0</v>
      </c>
      <c r="G49" s="1"/>
      <c r="H49" s="1">
        <f>SUM(OSRRefH22_9x_0)</f>
        <v>420.15</v>
      </c>
      <c r="I49" s="1"/>
      <c r="J49" s="5">
        <f t="shared" ref="J49:J54" si="41">IF(H$12=0,0,H49/H$12)</f>
        <v>0</v>
      </c>
      <c r="K49" s="1"/>
      <c r="L49" s="1">
        <f t="shared" ref="L49:L54" si="42">+D49-H49</f>
        <v>3.6000000000000227</v>
      </c>
      <c r="M49" s="1"/>
      <c r="N49" s="5">
        <f t="shared" ref="N49:N54" si="43">IF(H49=0,0,L49/H49)</f>
        <v>8.5683684398429674E-3</v>
      </c>
      <c r="O49" s="14"/>
      <c r="P49" s="1">
        <f>SUM(OSRRefP22_9x_0)</f>
        <v>871.85</v>
      </c>
      <c r="Q49" s="1"/>
      <c r="R49" s="5">
        <f t="shared" ref="R49:R54" si="44">IF(P$12=0,0,P49/P$12)</f>
        <v>0</v>
      </c>
      <c r="S49" s="1"/>
      <c r="T49" s="1">
        <f>SUM(OSRRefT22_9x_0)</f>
        <v>841.45</v>
      </c>
      <c r="U49" s="1"/>
      <c r="V49" s="5">
        <f t="shared" ref="V49:V54" si="45">IF(T$12=0,0,T49/T$12)</f>
        <v>0</v>
      </c>
      <c r="W49" s="1"/>
      <c r="X49" s="1">
        <f t="shared" ref="X49:X54" si="46">+P49-T49</f>
        <v>30.399999999999977</v>
      </c>
      <c r="Y49" s="1"/>
      <c r="Z49" s="5">
        <f t="shared" ref="Z49:Z54" si="47">IF(T49=0,0,X49/T49)</f>
        <v>3.6128112187295711E-2</v>
      </c>
    </row>
    <row r="50" spans="1:26" s="24" customFormat="1" hidden="1" outlineLevel="2" x14ac:dyDescent="0.3">
      <c r="A50" s="27"/>
      <c r="B50" s="11" t="str">
        <f>CONCATENATE("          ", "6309", " - ", "TELEPHONE")</f>
        <v xml:space="preserve">          6309 - TELEPHONE</v>
      </c>
      <c r="C50" s="11"/>
      <c r="D50" s="7">
        <v>423.75</v>
      </c>
      <c r="E50" s="2"/>
      <c r="F50" s="8">
        <f t="shared" si="40"/>
        <v>0</v>
      </c>
      <c r="G50" s="2"/>
      <c r="H50" s="7">
        <v>420.15</v>
      </c>
      <c r="I50" s="2"/>
      <c r="J50" s="8">
        <f t="shared" si="41"/>
        <v>0</v>
      </c>
      <c r="K50" s="2"/>
      <c r="L50" s="7">
        <f t="shared" si="42"/>
        <v>3.6000000000000227</v>
      </c>
      <c r="M50" s="2"/>
      <c r="N50" s="8">
        <f t="shared" si="43"/>
        <v>8.5683684398429674E-3</v>
      </c>
      <c r="O50" s="11"/>
      <c r="P50" s="7">
        <v>871.85</v>
      </c>
      <c r="Q50" s="2"/>
      <c r="R50" s="8">
        <f t="shared" si="44"/>
        <v>0</v>
      </c>
      <c r="S50" s="2"/>
      <c r="T50" s="7">
        <v>841.45</v>
      </c>
      <c r="U50" s="2"/>
      <c r="V50" s="8">
        <f t="shared" si="45"/>
        <v>0</v>
      </c>
      <c r="W50" s="2"/>
      <c r="X50" s="7">
        <f t="shared" si="46"/>
        <v>30.399999999999977</v>
      </c>
      <c r="Y50" s="2"/>
      <c r="Z50" s="8">
        <f t="shared" si="47"/>
        <v>3.6128112187295711E-2</v>
      </c>
    </row>
    <row r="51" spans="1:26" s="28" customFormat="1" outlineLevel="1" collapsed="1" x14ac:dyDescent="0.3">
      <c r="A51" s="29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SUM(OSRRefD22_10x_0)</f>
        <v>595</v>
      </c>
      <c r="E51" s="1"/>
      <c r="F51" s="5">
        <f t="shared" si="40"/>
        <v>0</v>
      </c>
      <c r="G51" s="1"/>
      <c r="H51" s="1">
        <f>SUM(OSRRefH22_10x_0)</f>
        <v>0</v>
      </c>
      <c r="I51" s="1"/>
      <c r="J51" s="5">
        <f t="shared" si="41"/>
        <v>0</v>
      </c>
      <c r="K51" s="1"/>
      <c r="L51" s="1">
        <f t="shared" si="42"/>
        <v>595</v>
      </c>
      <c r="M51" s="1"/>
      <c r="N51" s="5">
        <f t="shared" si="43"/>
        <v>0</v>
      </c>
      <c r="O51" s="14"/>
      <c r="P51" s="1">
        <f>SUM(OSRRefP22_10x_0)</f>
        <v>595</v>
      </c>
      <c r="Q51" s="1"/>
      <c r="R51" s="5">
        <f t="shared" si="44"/>
        <v>0</v>
      </c>
      <c r="S51" s="1"/>
      <c r="T51" s="1">
        <f>SUM(OSRRefT22_10x_0)</f>
        <v>0</v>
      </c>
      <c r="U51" s="1"/>
      <c r="V51" s="5">
        <f t="shared" si="45"/>
        <v>0</v>
      </c>
      <c r="W51" s="1"/>
      <c r="X51" s="1">
        <f t="shared" si="46"/>
        <v>595</v>
      </c>
      <c r="Y51" s="1"/>
      <c r="Z51" s="5">
        <f t="shared" si="47"/>
        <v>0</v>
      </c>
    </row>
    <row r="52" spans="1:26" s="24" customFormat="1" hidden="1" outlineLevel="2" x14ac:dyDescent="0.3">
      <c r="A52" s="27"/>
      <c r="B52" s="11" t="str">
        <f>CONCATENATE("          ", "6376", " - ", "TRAINING")</f>
        <v xml:space="preserve">          6376 - TRAINING</v>
      </c>
      <c r="C52" s="11"/>
      <c r="D52" s="7">
        <v>595</v>
      </c>
      <c r="E52" s="2"/>
      <c r="F52" s="8">
        <f t="shared" si="40"/>
        <v>0</v>
      </c>
      <c r="G52" s="2"/>
      <c r="H52" s="7"/>
      <c r="I52" s="2"/>
      <c r="J52" s="8">
        <f t="shared" si="41"/>
        <v>0</v>
      </c>
      <c r="K52" s="2"/>
      <c r="L52" s="7">
        <f t="shared" si="42"/>
        <v>595</v>
      </c>
      <c r="M52" s="2"/>
      <c r="N52" s="8">
        <f t="shared" si="43"/>
        <v>0</v>
      </c>
      <c r="O52" s="11"/>
      <c r="P52" s="7">
        <v>595</v>
      </c>
      <c r="Q52" s="2"/>
      <c r="R52" s="8">
        <f t="shared" si="44"/>
        <v>0</v>
      </c>
      <c r="S52" s="2"/>
      <c r="T52" s="7"/>
      <c r="U52" s="2"/>
      <c r="V52" s="8">
        <f t="shared" si="45"/>
        <v>0</v>
      </c>
      <c r="W52" s="2"/>
      <c r="X52" s="7">
        <f t="shared" si="46"/>
        <v>595</v>
      </c>
      <c r="Y52" s="2"/>
      <c r="Z52" s="8">
        <f t="shared" si="47"/>
        <v>0</v>
      </c>
    </row>
    <row r="53" spans="1:26" s="28" customFormat="1" outlineLevel="1" collapsed="1" x14ac:dyDescent="0.3">
      <c r="A53" s="29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SUM(OSRRefD22_11x_0)</f>
        <v>0</v>
      </c>
      <c r="E53" s="1"/>
      <c r="F53" s="5">
        <f t="shared" si="40"/>
        <v>0</v>
      </c>
      <c r="G53" s="1"/>
      <c r="H53" s="1">
        <f>SUM(OSRRefH22_11x_0)</f>
        <v>7.8</v>
      </c>
      <c r="I53" s="1"/>
      <c r="J53" s="5">
        <f t="shared" si="41"/>
        <v>0</v>
      </c>
      <c r="K53" s="1"/>
      <c r="L53" s="1">
        <f t="shared" si="42"/>
        <v>-7.8</v>
      </c>
      <c r="M53" s="1"/>
      <c r="N53" s="5">
        <f t="shared" si="43"/>
        <v>-1</v>
      </c>
      <c r="O53" s="14"/>
      <c r="P53" s="1">
        <f>SUM(OSRRefP22_11x_0)</f>
        <v>17.100000000000001</v>
      </c>
      <c r="Q53" s="1"/>
      <c r="R53" s="5">
        <f t="shared" si="44"/>
        <v>0</v>
      </c>
      <c r="S53" s="1"/>
      <c r="T53" s="1">
        <f>SUM(OSRRefT22_11x_0)</f>
        <v>17.55</v>
      </c>
      <c r="U53" s="1"/>
      <c r="V53" s="5">
        <f t="shared" si="45"/>
        <v>0</v>
      </c>
      <c r="W53" s="1"/>
      <c r="X53" s="1">
        <f t="shared" si="46"/>
        <v>-0.44999999999999929</v>
      </c>
      <c r="Y53" s="1"/>
      <c r="Z53" s="5">
        <f t="shared" si="47"/>
        <v>-2.5641025641025599E-2</v>
      </c>
    </row>
    <row r="54" spans="1:26" s="24" customFormat="1" hidden="1" outlineLevel="2" x14ac:dyDescent="0.3">
      <c r="A54" s="27"/>
      <c r="B54" s="11" t="str">
        <f>CONCATENATE("          ", "6294", " - ", "TRAVEL OPERATIONAL")</f>
        <v xml:space="preserve">          6294 - TRAVEL OPERATIONAL</v>
      </c>
      <c r="C54" s="11"/>
      <c r="D54" s="7"/>
      <c r="E54" s="2"/>
      <c r="F54" s="8">
        <f t="shared" si="40"/>
        <v>0</v>
      </c>
      <c r="G54" s="2"/>
      <c r="H54" s="7">
        <v>7.8</v>
      </c>
      <c r="I54" s="2"/>
      <c r="J54" s="8">
        <f t="shared" si="41"/>
        <v>0</v>
      </c>
      <c r="K54" s="2"/>
      <c r="L54" s="7">
        <f t="shared" si="42"/>
        <v>-7.8</v>
      </c>
      <c r="M54" s="2"/>
      <c r="N54" s="8">
        <f t="shared" si="43"/>
        <v>-1</v>
      </c>
      <c r="O54" s="11"/>
      <c r="P54" s="7">
        <v>17.100000000000001</v>
      </c>
      <c r="Q54" s="2"/>
      <c r="R54" s="8">
        <f t="shared" si="44"/>
        <v>0</v>
      </c>
      <c r="S54" s="2"/>
      <c r="T54" s="7">
        <v>17.55</v>
      </c>
      <c r="U54" s="2"/>
      <c r="V54" s="8">
        <f t="shared" si="45"/>
        <v>0</v>
      </c>
      <c r="W54" s="2"/>
      <c r="X54" s="7">
        <f t="shared" si="46"/>
        <v>-0.44999999999999929</v>
      </c>
      <c r="Y54" s="2"/>
      <c r="Z54" s="8">
        <f t="shared" si="47"/>
        <v>-2.5641025641025599E-2</v>
      </c>
    </row>
    <row r="55" spans="1:26" s="61" customFormat="1" x14ac:dyDescent="0.3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3">
      <c r="A56" s="10"/>
      <c r="B56" s="26" t="s">
        <v>292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3">
      <c r="A57" s="9"/>
      <c r="B57" s="10"/>
      <c r="C57" s="10"/>
      <c r="D57" s="3"/>
      <c r="E57" s="3"/>
      <c r="F57" s="6"/>
      <c r="G57" s="3"/>
      <c r="H57" s="3"/>
      <c r="I57" s="3"/>
      <c r="J57" s="6"/>
      <c r="K57" s="3"/>
      <c r="L57" s="3"/>
      <c r="M57" s="3"/>
      <c r="N57" s="6"/>
      <c r="O57" s="10"/>
      <c r="P57" s="3"/>
      <c r="Q57" s="3"/>
      <c r="R57" s="6"/>
      <c r="S57" s="3"/>
      <c r="T57" s="3"/>
      <c r="U57" s="3"/>
      <c r="V57" s="6"/>
      <c r="W57" s="3"/>
      <c r="X57" s="3"/>
      <c r="Y57" s="3"/>
      <c r="Z57" s="6"/>
    </row>
    <row r="58" spans="1:26" s="23" customFormat="1" x14ac:dyDescent="0.3">
      <c r="A58" s="10"/>
      <c r="B58" s="25" t="s">
        <v>276</v>
      </c>
      <c r="C58" s="25"/>
      <c r="D58" s="20">
        <f>+D16-D18+D56</f>
        <v>-40690.089999999997</v>
      </c>
      <c r="E58" s="13"/>
      <c r="F58" s="22">
        <f>IF(D$12=0,0,D58/D$12)</f>
        <v>0</v>
      </c>
      <c r="G58" s="13"/>
      <c r="H58" s="20">
        <f>+H16-H18+H56</f>
        <v>-34593.850000000006</v>
      </c>
      <c r="I58" s="13"/>
      <c r="J58" s="22">
        <f>IF(H$12=0,0,H58/H$12)</f>
        <v>0</v>
      </c>
      <c r="K58" s="15"/>
      <c r="L58" s="20">
        <f>+D58-H58</f>
        <v>-6096.2399999999907</v>
      </c>
      <c r="M58" s="15"/>
      <c r="N58" s="22">
        <f>IF(H58=0,0,L58/H58)</f>
        <v>0.17622323042968591</v>
      </c>
      <c r="O58" s="26"/>
      <c r="P58" s="20">
        <f>+P16-P18+P56</f>
        <v>-82291.450000000012</v>
      </c>
      <c r="Q58" s="13"/>
      <c r="R58" s="22">
        <f>IF(P$12=0,0,P58/P$12)</f>
        <v>0</v>
      </c>
      <c r="S58" s="13"/>
      <c r="T58" s="20">
        <f>+T16-T18+T56</f>
        <v>-73991.889999999985</v>
      </c>
      <c r="U58" s="13"/>
      <c r="V58" s="22">
        <f>IF(T$12=0,0,T58/T$12)</f>
        <v>0</v>
      </c>
      <c r="W58" s="15"/>
      <c r="X58" s="20">
        <f>+P58-T58</f>
        <v>-8299.5600000000268</v>
      </c>
      <c r="Y58" s="15"/>
      <c r="Z58" s="22">
        <f>IF(T58=0,0,X58/T58)</f>
        <v>0.11216850927851726</v>
      </c>
    </row>
    <row r="59" spans="1:26" x14ac:dyDescent="0.3">
      <c r="A59" s="9"/>
      <c r="B59" s="10"/>
      <c r="C59" s="9"/>
      <c r="D59" s="3"/>
      <c r="E59" s="3"/>
      <c r="F59" s="6"/>
      <c r="G59" s="3"/>
      <c r="H59" s="3"/>
      <c r="I59" s="3"/>
      <c r="J59" s="6"/>
      <c r="K59" s="3"/>
      <c r="L59" s="3"/>
      <c r="M59" s="3"/>
      <c r="N59" s="6"/>
      <c r="P59" s="3"/>
      <c r="Q59" s="3"/>
      <c r="R59" s="6"/>
      <c r="S59" s="3"/>
      <c r="T59" s="3"/>
      <c r="U59" s="3"/>
      <c r="V59" s="6"/>
      <c r="W59" s="3"/>
      <c r="X59" s="3"/>
      <c r="Y59" s="3"/>
      <c r="Z59" s="6"/>
    </row>
    <row r="60" spans="1:26" s="23" customFormat="1" x14ac:dyDescent="0.3">
      <c r="A60" s="51"/>
      <c r="B60" s="10" t="s">
        <v>127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3">
      <c r="A61" s="9"/>
      <c r="B61" s="10"/>
      <c r="C61" s="10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O61" s="10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ht="15" thickBot="1" x14ac:dyDescent="0.35">
      <c r="A62" s="10"/>
      <c r="B62" s="25" t="s">
        <v>125</v>
      </c>
      <c r="C62" s="25"/>
      <c r="D62" s="33">
        <f>+D58-D60</f>
        <v>-40690.089999999997</v>
      </c>
      <c r="E62" s="13"/>
      <c r="F62" s="36">
        <f>IF(D$12=0,0,D62/D$12)</f>
        <v>0</v>
      </c>
      <c r="G62" s="13"/>
      <c r="H62" s="33">
        <f>+H58-H60</f>
        <v>-34593.850000000006</v>
      </c>
      <c r="I62" s="13"/>
      <c r="J62" s="36">
        <f>IF(H$12=0,0,H62/H$12)</f>
        <v>0</v>
      </c>
      <c r="K62" s="15"/>
      <c r="L62" s="33">
        <f>D62-H62</f>
        <v>-6096.2399999999907</v>
      </c>
      <c r="M62" s="15"/>
      <c r="N62" s="36">
        <f>IF(H62=0,0,L62/H62)</f>
        <v>0.17622323042968591</v>
      </c>
      <c r="O62" s="26"/>
      <c r="P62" s="33">
        <f>+P58-P60</f>
        <v>-82291.450000000012</v>
      </c>
      <c r="Q62" s="13"/>
      <c r="R62" s="36">
        <f>IF(P$12=0,0,P62/P$12)</f>
        <v>0</v>
      </c>
      <c r="S62" s="13"/>
      <c r="T62" s="33">
        <f>+T58-T60</f>
        <v>-73991.889999999985</v>
      </c>
      <c r="U62" s="13"/>
      <c r="V62" s="36">
        <f>IF(T$12=0,0,T62/T$12)</f>
        <v>0</v>
      </c>
      <c r="W62" s="15"/>
      <c r="X62" s="33">
        <f>P62-T62</f>
        <v>-8299.5600000000268</v>
      </c>
      <c r="Y62" s="15"/>
      <c r="Z62" s="36">
        <f>IF(T62=0,0,X62/T62)</f>
        <v>0.11216850927851726</v>
      </c>
    </row>
    <row r="63" spans="1:26" ht="15" thickTop="1" x14ac:dyDescent="0.3">
      <c r="A63" s="9"/>
      <c r="B63" s="9"/>
      <c r="C63" s="9"/>
      <c r="D63" s="3"/>
      <c r="E63" s="3"/>
      <c r="F63" s="6"/>
      <c r="G63" s="3"/>
      <c r="H63" s="3"/>
      <c r="I63" s="3"/>
      <c r="J63" s="6"/>
      <c r="K63" s="3"/>
      <c r="L63" s="3"/>
      <c r="M63" s="3"/>
      <c r="N63" s="6"/>
      <c r="P63" s="3"/>
      <c r="Q63" s="3"/>
      <c r="R63" s="6"/>
      <c r="S63" s="3"/>
      <c r="T63" s="3"/>
      <c r="U63" s="3"/>
      <c r="V63" s="6"/>
      <c r="W63" s="3"/>
      <c r="X63" s="3"/>
      <c r="Y63" s="3"/>
      <c r="Z63" s="6"/>
    </row>
    <row r="64" spans="1:26" x14ac:dyDescent="0.3">
      <c r="A64" s="9"/>
      <c r="B64" s="9"/>
      <c r="C64" s="9"/>
      <c r="D64" s="3"/>
      <c r="E64" s="3"/>
      <c r="F64" s="6"/>
      <c r="G64" s="3"/>
      <c r="H64" s="3"/>
      <c r="I64" s="3"/>
      <c r="J64" s="6"/>
      <c r="K64" s="3"/>
      <c r="L64" s="3"/>
      <c r="M64" s="3"/>
      <c r="N64" s="6"/>
      <c r="P64" s="3"/>
      <c r="Q64" s="3"/>
      <c r="R64" s="6"/>
      <c r="S64" s="3"/>
      <c r="T64" s="3"/>
      <c r="U64" s="3"/>
      <c r="V64" s="6"/>
      <c r="W64" s="3"/>
      <c r="X64" s="3"/>
      <c r="Y64" s="3"/>
      <c r="Z64" s="6"/>
    </row>
    <row r="65" spans="1:26" s="23" customFormat="1" ht="15" thickBot="1" x14ac:dyDescent="0.35">
      <c r="A65" s="10"/>
      <c r="B65" s="25" t="s">
        <v>293</v>
      </c>
      <c r="C65" s="25"/>
      <c r="D65" s="30">
        <f>SUM(D62:D64)</f>
        <v>-40690.089999999997</v>
      </c>
      <c r="E65" s="13"/>
      <c r="F65" s="31">
        <f>IF(D$12=0,0,D65/D$12)</f>
        <v>0</v>
      </c>
      <c r="G65" s="13"/>
      <c r="H65" s="30">
        <f>SUM(H62:H64)</f>
        <v>-34593.850000000006</v>
      </c>
      <c r="I65" s="13"/>
      <c r="J65" s="31">
        <f>IF(H$12=0,0,H65/H$12)</f>
        <v>0</v>
      </c>
      <c r="K65" s="15"/>
      <c r="L65" s="30">
        <f>+D65-H65</f>
        <v>-6096.2399999999907</v>
      </c>
      <c r="M65" s="15"/>
      <c r="N65" s="31">
        <f>IF(H65=0,0,L65/H65)</f>
        <v>0.17622323042968591</v>
      </c>
      <c r="O65" s="26"/>
      <c r="P65" s="30">
        <f>SUM(P62:P64)</f>
        <v>-82291.450000000012</v>
      </c>
      <c r="Q65" s="13"/>
      <c r="R65" s="31">
        <f>IF(P$12=0,0,P65/P$12)</f>
        <v>0</v>
      </c>
      <c r="S65" s="13"/>
      <c r="T65" s="30">
        <f>SUM(T62:T64)</f>
        <v>-73991.889999999985</v>
      </c>
      <c r="U65" s="13"/>
      <c r="V65" s="31">
        <f>IF(T$12=0,0,T65/T$12)</f>
        <v>0</v>
      </c>
      <c r="W65" s="15"/>
      <c r="X65" s="30">
        <f>+P65-T65</f>
        <v>-8299.5600000000268</v>
      </c>
      <c r="Y65" s="15"/>
      <c r="Z65" s="31">
        <f>IF(T65=0,0,X65/T65)</f>
        <v>0.11216850927851726</v>
      </c>
    </row>
    <row r="66" spans="1:26" ht="15" thickTop="1" x14ac:dyDescent="0.3">
      <c r="A66" s="9"/>
      <c r="C66" s="9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6" x14ac:dyDescent="0.3">
      <c r="A67" s="9"/>
      <c r="B67" s="59">
        <v>44470.840542939812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6" x14ac:dyDescent="0.3">
      <c r="A68" s="9"/>
      <c r="B68" s="58" t="s">
        <v>56</v>
      </c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52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","203", " - ", "Human Resources")</f>
        <v>Department 203 - Human Resources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47897.97</v>
      </c>
      <c r="E18" s="21"/>
      <c r="F18" s="32">
        <f t="shared" ref="F18:F28" si="0">IF(D$12=0,0,D18/D$12)</f>
        <v>0</v>
      </c>
      <c r="G18" s="21"/>
      <c r="H18" s="21">
        <f>SUM(OSRRefH22x_0)</f>
        <v>41292.079999999994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6605.8900000000067</v>
      </c>
      <c r="M18" s="4"/>
      <c r="N18" s="32">
        <f t="shared" ref="N18:N28" si="3">IF(H18=0,0,L18/H18)</f>
        <v>0.15997958930623032</v>
      </c>
      <c r="O18" s="10"/>
      <c r="P18" s="21">
        <f>SUM(OSRRefP22x_0)</f>
        <v>106528.35</v>
      </c>
      <c r="Q18" s="21"/>
      <c r="R18" s="32">
        <f t="shared" ref="R18:R28" si="4">IF(P$12=0,0,P18/P$12)</f>
        <v>0</v>
      </c>
      <c r="S18" s="21"/>
      <c r="T18" s="21">
        <f>SUM(OSRRefT22x_0)</f>
        <v>92335.59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14192.760000000009</v>
      </c>
      <c r="Y18" s="4"/>
      <c r="Z18" s="32">
        <f t="shared" ref="Z18:Z28" si="7">IF(T18=0,0,X18/T18)</f>
        <v>0.15370844546506943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13739.57</v>
      </c>
      <c r="E19" s="1"/>
      <c r="F19" s="5">
        <f t="shared" si="0"/>
        <v>0</v>
      </c>
      <c r="G19" s="1"/>
      <c r="H19" s="1">
        <f>SUM(OSRRefH22_0x_0)</f>
        <v>11866.3</v>
      </c>
      <c r="I19" s="1"/>
      <c r="J19" s="5">
        <f t="shared" si="1"/>
        <v>0</v>
      </c>
      <c r="K19" s="1"/>
      <c r="L19" s="1">
        <f t="shared" si="2"/>
        <v>1873.2700000000004</v>
      </c>
      <c r="M19" s="1"/>
      <c r="N19" s="5">
        <f t="shared" si="3"/>
        <v>0.15786470930281557</v>
      </c>
      <c r="O19" s="14"/>
      <c r="P19" s="1">
        <f>SUM(OSRRefP22_0x_0)</f>
        <v>27158.27</v>
      </c>
      <c r="Q19" s="1"/>
      <c r="R19" s="5">
        <f t="shared" si="4"/>
        <v>0</v>
      </c>
      <c r="S19" s="1"/>
      <c r="T19" s="1">
        <f>SUM(OSRRefT22_0x_0)</f>
        <v>24378.090000000004</v>
      </c>
      <c r="U19" s="1"/>
      <c r="V19" s="5">
        <f t="shared" si="5"/>
        <v>0</v>
      </c>
      <c r="W19" s="1"/>
      <c r="X19" s="1">
        <f t="shared" si="6"/>
        <v>2780.1799999999967</v>
      </c>
      <c r="Y19" s="1"/>
      <c r="Z19" s="5">
        <f t="shared" si="7"/>
        <v>0.11404420936997099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2066.4499999999998</v>
      </c>
      <c r="E20" s="2"/>
      <c r="F20" s="8">
        <f t="shared" si="0"/>
        <v>0</v>
      </c>
      <c r="G20" s="2"/>
      <c r="H20" s="7">
        <v>1951.62</v>
      </c>
      <c r="I20" s="2"/>
      <c r="J20" s="8">
        <f t="shared" si="1"/>
        <v>0</v>
      </c>
      <c r="K20" s="2"/>
      <c r="L20" s="7">
        <f t="shared" si="2"/>
        <v>114.82999999999993</v>
      </c>
      <c r="M20" s="2"/>
      <c r="N20" s="8">
        <f t="shared" si="3"/>
        <v>5.8838298439245311E-2</v>
      </c>
      <c r="O20" s="11"/>
      <c r="P20" s="7">
        <v>4183.58</v>
      </c>
      <c r="Q20" s="2"/>
      <c r="R20" s="8">
        <f t="shared" si="4"/>
        <v>0</v>
      </c>
      <c r="S20" s="2"/>
      <c r="T20" s="7">
        <v>3903.33</v>
      </c>
      <c r="U20" s="2"/>
      <c r="V20" s="8">
        <f t="shared" si="5"/>
        <v>0</v>
      </c>
      <c r="W20" s="2"/>
      <c r="X20" s="7">
        <f t="shared" si="6"/>
        <v>280.25</v>
      </c>
      <c r="Y20" s="2"/>
      <c r="Z20" s="8">
        <f t="shared" si="7"/>
        <v>7.1797670194423735E-2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345.88</v>
      </c>
      <c r="E21" s="2"/>
      <c r="F21" s="8">
        <f t="shared" si="0"/>
        <v>0</v>
      </c>
      <c r="G21" s="2"/>
      <c r="H21" s="7">
        <v>84.08</v>
      </c>
      <c r="I21" s="2"/>
      <c r="J21" s="8">
        <f t="shared" si="1"/>
        <v>0</v>
      </c>
      <c r="K21" s="2"/>
      <c r="L21" s="7">
        <f t="shared" si="2"/>
        <v>261.8</v>
      </c>
      <c r="M21" s="2"/>
      <c r="N21" s="8">
        <f t="shared" si="3"/>
        <v>3.1137012369172217</v>
      </c>
      <c r="O21" s="11"/>
      <c r="P21" s="7">
        <v>701.76</v>
      </c>
      <c r="Q21" s="2"/>
      <c r="R21" s="8">
        <f t="shared" si="4"/>
        <v>0</v>
      </c>
      <c r="S21" s="2"/>
      <c r="T21" s="7">
        <v>168.07</v>
      </c>
      <c r="U21" s="2"/>
      <c r="V21" s="8">
        <f t="shared" si="5"/>
        <v>0</v>
      </c>
      <c r="W21" s="2"/>
      <c r="X21" s="7">
        <f t="shared" si="6"/>
        <v>533.69000000000005</v>
      </c>
      <c r="Y21" s="2"/>
      <c r="Z21" s="8">
        <f t="shared" si="7"/>
        <v>3.175403105848754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6048.94</v>
      </c>
      <c r="E22" s="2"/>
      <c r="F22" s="8">
        <f t="shared" si="0"/>
        <v>0</v>
      </c>
      <c r="G22" s="2"/>
      <c r="H22" s="7">
        <v>6091.67</v>
      </c>
      <c r="I22" s="2"/>
      <c r="J22" s="8">
        <f t="shared" si="1"/>
        <v>0</v>
      </c>
      <c r="K22" s="2"/>
      <c r="L22" s="7">
        <f t="shared" si="2"/>
        <v>-42.730000000000473</v>
      </c>
      <c r="M22" s="2"/>
      <c r="N22" s="8">
        <f t="shared" si="3"/>
        <v>-7.0144968456926377E-3</v>
      </c>
      <c r="O22" s="11"/>
      <c r="P22" s="7">
        <v>12097.88</v>
      </c>
      <c r="Q22" s="2"/>
      <c r="R22" s="8">
        <f t="shared" si="4"/>
        <v>0</v>
      </c>
      <c r="S22" s="2"/>
      <c r="T22" s="7">
        <v>12183.34</v>
      </c>
      <c r="U22" s="2"/>
      <c r="V22" s="8">
        <f t="shared" si="5"/>
        <v>0</v>
      </c>
      <c r="W22" s="2"/>
      <c r="X22" s="7">
        <f t="shared" si="6"/>
        <v>-85.460000000000946</v>
      </c>
      <c r="Y22" s="2"/>
      <c r="Z22" s="8">
        <f t="shared" si="7"/>
        <v>-7.0144968456926377E-3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69.709999999999994</v>
      </c>
      <c r="E23" s="2"/>
      <c r="F23" s="8">
        <f t="shared" si="0"/>
        <v>0</v>
      </c>
      <c r="G23" s="2"/>
      <c r="H23" s="7">
        <v>66.25</v>
      </c>
      <c r="I23" s="2"/>
      <c r="J23" s="8">
        <f t="shared" si="1"/>
        <v>0</v>
      </c>
      <c r="K23" s="2"/>
      <c r="L23" s="7">
        <f t="shared" si="2"/>
        <v>3.4599999999999937</v>
      </c>
      <c r="M23" s="2"/>
      <c r="N23" s="8">
        <f t="shared" si="3"/>
        <v>5.2226415094339528E-2</v>
      </c>
      <c r="O23" s="11"/>
      <c r="P23" s="7">
        <v>141.44</v>
      </c>
      <c r="Q23" s="2"/>
      <c r="R23" s="8">
        <f t="shared" si="4"/>
        <v>0</v>
      </c>
      <c r="S23" s="2"/>
      <c r="T23" s="7">
        <v>132.41999999999999</v>
      </c>
      <c r="U23" s="2"/>
      <c r="V23" s="8">
        <f t="shared" si="5"/>
        <v>0</v>
      </c>
      <c r="W23" s="2"/>
      <c r="X23" s="7">
        <f t="shared" si="6"/>
        <v>9.0200000000000102</v>
      </c>
      <c r="Y23" s="2"/>
      <c r="Z23" s="8">
        <f t="shared" si="7"/>
        <v>6.8116598701102635E-2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1238.02</v>
      </c>
      <c r="E24" s="2"/>
      <c r="F24" s="8">
        <f t="shared" si="0"/>
        <v>0</v>
      </c>
      <c r="G24" s="2"/>
      <c r="H24" s="7">
        <v>1091.48</v>
      </c>
      <c r="I24" s="2"/>
      <c r="J24" s="8">
        <f t="shared" si="1"/>
        <v>0</v>
      </c>
      <c r="K24" s="2"/>
      <c r="L24" s="7">
        <f t="shared" si="2"/>
        <v>146.53999999999996</v>
      </c>
      <c r="M24" s="2"/>
      <c r="N24" s="8">
        <f t="shared" si="3"/>
        <v>0.13425807160919115</v>
      </c>
      <c r="O24" s="11"/>
      <c r="P24" s="7">
        <v>2476.04</v>
      </c>
      <c r="Q24" s="2"/>
      <c r="R24" s="8">
        <f t="shared" si="4"/>
        <v>0</v>
      </c>
      <c r="S24" s="2"/>
      <c r="T24" s="7">
        <v>2728.7</v>
      </c>
      <c r="U24" s="2"/>
      <c r="V24" s="8">
        <f t="shared" si="5"/>
        <v>0</v>
      </c>
      <c r="W24" s="2"/>
      <c r="X24" s="7">
        <f t="shared" si="6"/>
        <v>-252.65999999999985</v>
      </c>
      <c r="Y24" s="2"/>
      <c r="Z24" s="8">
        <f t="shared" si="7"/>
        <v>-9.2593542712646998E-2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>
        <v>939.2</v>
      </c>
      <c r="E25" s="2"/>
      <c r="F25" s="8">
        <f t="shared" si="0"/>
        <v>0</v>
      </c>
      <c r="G25" s="2"/>
      <c r="H25" s="7">
        <v>607.24</v>
      </c>
      <c r="I25" s="2"/>
      <c r="J25" s="8">
        <f t="shared" si="1"/>
        <v>0</v>
      </c>
      <c r="K25" s="2"/>
      <c r="L25" s="7">
        <f t="shared" si="2"/>
        <v>331.96000000000004</v>
      </c>
      <c r="M25" s="2"/>
      <c r="N25" s="8">
        <f t="shared" si="3"/>
        <v>0.54667017983005073</v>
      </c>
      <c r="O25" s="11"/>
      <c r="P25" s="7">
        <v>1542.68</v>
      </c>
      <c r="Q25" s="2"/>
      <c r="R25" s="8">
        <f t="shared" si="4"/>
        <v>0</v>
      </c>
      <c r="S25" s="2"/>
      <c r="T25" s="7">
        <v>1436.46</v>
      </c>
      <c r="U25" s="2"/>
      <c r="V25" s="8">
        <f t="shared" si="5"/>
        <v>0</v>
      </c>
      <c r="W25" s="2"/>
      <c r="X25" s="7">
        <f t="shared" si="6"/>
        <v>106.22000000000003</v>
      </c>
      <c r="Y25" s="2"/>
      <c r="Z25" s="8">
        <f t="shared" si="7"/>
        <v>7.3945671999220322E-2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1769.48</v>
      </c>
      <c r="E26" s="2"/>
      <c r="F26" s="8">
        <f t="shared" si="0"/>
        <v>0</v>
      </c>
      <c r="G26" s="2"/>
      <c r="H26" s="7">
        <v>1011.14</v>
      </c>
      <c r="I26" s="2"/>
      <c r="J26" s="8">
        <f t="shared" si="1"/>
        <v>0</v>
      </c>
      <c r="K26" s="2"/>
      <c r="L26" s="7">
        <f t="shared" si="2"/>
        <v>758.34</v>
      </c>
      <c r="M26" s="2"/>
      <c r="N26" s="8">
        <f t="shared" si="3"/>
        <v>0.7499851652590146</v>
      </c>
      <c r="O26" s="11"/>
      <c r="P26" s="7">
        <v>3538.96</v>
      </c>
      <c r="Q26" s="2"/>
      <c r="R26" s="8">
        <f t="shared" si="4"/>
        <v>0</v>
      </c>
      <c r="S26" s="2"/>
      <c r="T26" s="7">
        <v>1946.83</v>
      </c>
      <c r="U26" s="2"/>
      <c r="V26" s="8">
        <f t="shared" si="5"/>
        <v>0</v>
      </c>
      <c r="W26" s="2"/>
      <c r="X26" s="7">
        <f t="shared" si="6"/>
        <v>1592.13</v>
      </c>
      <c r="Y26" s="2"/>
      <c r="Z26" s="8">
        <f t="shared" si="7"/>
        <v>0.81780638268364481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1161.08</v>
      </c>
      <c r="E27" s="2"/>
      <c r="F27" s="8">
        <f t="shared" si="0"/>
        <v>0</v>
      </c>
      <c r="G27" s="2"/>
      <c r="H27" s="7">
        <v>908.12</v>
      </c>
      <c r="I27" s="2"/>
      <c r="J27" s="8">
        <f t="shared" si="1"/>
        <v>0</v>
      </c>
      <c r="K27" s="2"/>
      <c r="L27" s="7">
        <f t="shared" si="2"/>
        <v>252.95999999999992</v>
      </c>
      <c r="M27" s="2"/>
      <c r="N27" s="8">
        <f t="shared" si="3"/>
        <v>0.27855349513280175</v>
      </c>
      <c r="O27" s="11"/>
      <c r="P27" s="7">
        <v>2322.16</v>
      </c>
      <c r="Q27" s="2"/>
      <c r="R27" s="8">
        <f t="shared" si="4"/>
        <v>0</v>
      </c>
      <c r="S27" s="2"/>
      <c r="T27" s="7">
        <v>1816.24</v>
      </c>
      <c r="U27" s="2"/>
      <c r="V27" s="8">
        <f t="shared" si="5"/>
        <v>0</v>
      </c>
      <c r="W27" s="2"/>
      <c r="X27" s="7">
        <f t="shared" si="6"/>
        <v>505.91999999999985</v>
      </c>
      <c r="Y27" s="2"/>
      <c r="Z27" s="8">
        <f t="shared" si="7"/>
        <v>0.27855349513280175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100.81</v>
      </c>
      <c r="E28" s="2"/>
      <c r="F28" s="8">
        <f t="shared" si="0"/>
        <v>0</v>
      </c>
      <c r="G28" s="2"/>
      <c r="H28" s="7">
        <v>54.7</v>
      </c>
      <c r="I28" s="2"/>
      <c r="J28" s="8">
        <f t="shared" si="1"/>
        <v>0</v>
      </c>
      <c r="K28" s="2"/>
      <c r="L28" s="7">
        <f t="shared" si="2"/>
        <v>46.11</v>
      </c>
      <c r="M28" s="2"/>
      <c r="N28" s="8">
        <f t="shared" si="3"/>
        <v>0.84296160877513704</v>
      </c>
      <c r="O28" s="11"/>
      <c r="P28" s="7">
        <v>153.77000000000001</v>
      </c>
      <c r="Q28" s="2"/>
      <c r="R28" s="8">
        <f t="shared" si="4"/>
        <v>0</v>
      </c>
      <c r="S28" s="2"/>
      <c r="T28" s="7">
        <v>62.7</v>
      </c>
      <c r="U28" s="2"/>
      <c r="V28" s="8">
        <f t="shared" si="5"/>
        <v>0</v>
      </c>
      <c r="W28" s="2"/>
      <c r="X28" s="7">
        <f t="shared" si="6"/>
        <v>91.070000000000007</v>
      </c>
      <c r="Y28" s="2"/>
      <c r="Z28" s="8">
        <f t="shared" si="7"/>
        <v>1.4524720893141947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26368.9</v>
      </c>
      <c r="E29" s="1"/>
      <c r="F29" s="5">
        <f t="shared" ref="F29:F33" si="8">IF(D$12=0,0,D29/D$12)</f>
        <v>0</v>
      </c>
      <c r="G29" s="1"/>
      <c r="H29" s="1">
        <f>SUM(OSRRefH22_1x_0)</f>
        <v>25084.33</v>
      </c>
      <c r="I29" s="1"/>
      <c r="J29" s="5">
        <f t="shared" ref="J29:J33" si="9">IF(H$12=0,0,H29/H$12)</f>
        <v>0</v>
      </c>
      <c r="K29" s="1"/>
      <c r="L29" s="1">
        <f t="shared" ref="L29:L33" si="10">+D29-H29</f>
        <v>1284.5699999999997</v>
      </c>
      <c r="M29" s="1"/>
      <c r="N29" s="5">
        <f t="shared" ref="N29:N33" si="11">IF(H29=0,0,L29/H29)</f>
        <v>5.1210058231573242E-2</v>
      </c>
      <c r="O29" s="14"/>
      <c r="P29" s="1">
        <f>SUM(OSRRefP22_1x_0)</f>
        <v>58525.240000000005</v>
      </c>
      <c r="Q29" s="1"/>
      <c r="R29" s="5">
        <f t="shared" ref="R29:R33" si="12">IF(P$12=0,0,P29/P$12)</f>
        <v>0</v>
      </c>
      <c r="S29" s="1"/>
      <c r="T29" s="1">
        <f>SUM(OSRRefT22_1x_0)</f>
        <v>56535.33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1989.9100000000035</v>
      </c>
      <c r="Y29" s="1"/>
      <c r="Z29" s="5">
        <f t="shared" ref="Z29:Z33" si="15">IF(T29=0,0,X29/T29)</f>
        <v>3.5197636592905771E-2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11378.88</v>
      </c>
      <c r="E30" s="2"/>
      <c r="F30" s="8">
        <f t="shared" si="8"/>
        <v>0</v>
      </c>
      <c r="G30" s="2"/>
      <c r="H30" s="7">
        <v>9399.9500000000007</v>
      </c>
      <c r="I30" s="2"/>
      <c r="J30" s="8">
        <f t="shared" si="9"/>
        <v>0</v>
      </c>
      <c r="K30" s="2"/>
      <c r="L30" s="7">
        <f t="shared" si="10"/>
        <v>1978.9299999999985</v>
      </c>
      <c r="M30" s="2"/>
      <c r="N30" s="8">
        <f t="shared" si="11"/>
        <v>0.21052558790206313</v>
      </c>
      <c r="O30" s="11"/>
      <c r="P30" s="7">
        <v>24464.880000000001</v>
      </c>
      <c r="Q30" s="2"/>
      <c r="R30" s="8">
        <f t="shared" si="12"/>
        <v>0</v>
      </c>
      <c r="S30" s="2"/>
      <c r="T30" s="7">
        <v>21273.9</v>
      </c>
      <c r="U30" s="2"/>
      <c r="V30" s="8">
        <f t="shared" si="13"/>
        <v>0</v>
      </c>
      <c r="W30" s="2"/>
      <c r="X30" s="7">
        <f t="shared" si="14"/>
        <v>3190.9799999999996</v>
      </c>
      <c r="Y30" s="2"/>
      <c r="Z30" s="8">
        <f t="shared" si="15"/>
        <v>0.14999506437465623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>
        <v>14290.77</v>
      </c>
      <c r="E31" s="2"/>
      <c r="F31" s="8">
        <f t="shared" si="8"/>
        <v>0</v>
      </c>
      <c r="G31" s="2"/>
      <c r="H31" s="7">
        <v>9487.64</v>
      </c>
      <c r="I31" s="2"/>
      <c r="J31" s="8">
        <f t="shared" si="9"/>
        <v>0</v>
      </c>
      <c r="K31" s="2"/>
      <c r="L31" s="7">
        <f t="shared" si="10"/>
        <v>4803.130000000001</v>
      </c>
      <c r="M31" s="2"/>
      <c r="N31" s="8">
        <f t="shared" si="11"/>
        <v>0.50625129115354306</v>
      </c>
      <c r="O31" s="11"/>
      <c r="P31" s="7">
        <v>27497.11</v>
      </c>
      <c r="Q31" s="2"/>
      <c r="R31" s="8">
        <f t="shared" si="12"/>
        <v>0</v>
      </c>
      <c r="S31" s="2"/>
      <c r="T31" s="7">
        <v>19241.349999999999</v>
      </c>
      <c r="U31" s="2"/>
      <c r="V31" s="8">
        <f t="shared" si="13"/>
        <v>0</v>
      </c>
      <c r="W31" s="2"/>
      <c r="X31" s="7">
        <f t="shared" si="14"/>
        <v>8255.760000000002</v>
      </c>
      <c r="Y31" s="2"/>
      <c r="Z31" s="8">
        <f t="shared" si="15"/>
        <v>0.42906344929020068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7">
        <v>974.25</v>
      </c>
      <c r="E32" s="2"/>
      <c r="F32" s="8">
        <f t="shared" si="8"/>
        <v>0</v>
      </c>
      <c r="G32" s="2"/>
      <c r="H32" s="7">
        <v>5756.74</v>
      </c>
      <c r="I32" s="2"/>
      <c r="J32" s="8">
        <f t="shared" si="9"/>
        <v>0</v>
      </c>
      <c r="K32" s="2"/>
      <c r="L32" s="7">
        <f t="shared" si="10"/>
        <v>-4782.49</v>
      </c>
      <c r="M32" s="2"/>
      <c r="N32" s="8">
        <f t="shared" si="11"/>
        <v>-0.83076359189402338</v>
      </c>
      <c r="O32" s="11"/>
      <c r="P32" s="7">
        <v>3001.25</v>
      </c>
      <c r="Q32" s="2"/>
      <c r="R32" s="8">
        <f t="shared" si="12"/>
        <v>0</v>
      </c>
      <c r="S32" s="2"/>
      <c r="T32" s="7">
        <v>11640.08</v>
      </c>
      <c r="U32" s="2"/>
      <c r="V32" s="8">
        <f t="shared" si="13"/>
        <v>0</v>
      </c>
      <c r="W32" s="2"/>
      <c r="X32" s="7">
        <f t="shared" si="14"/>
        <v>-8638.83</v>
      </c>
      <c r="Y32" s="2"/>
      <c r="Z32" s="8">
        <f t="shared" si="15"/>
        <v>-0.74216242500051544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7">
        <v>-275</v>
      </c>
      <c r="E33" s="2"/>
      <c r="F33" s="8">
        <f t="shared" si="8"/>
        <v>0</v>
      </c>
      <c r="G33" s="2"/>
      <c r="H33" s="7">
        <v>440</v>
      </c>
      <c r="I33" s="2"/>
      <c r="J33" s="8">
        <f t="shared" si="9"/>
        <v>0</v>
      </c>
      <c r="K33" s="2"/>
      <c r="L33" s="7">
        <f t="shared" si="10"/>
        <v>-715</v>
      </c>
      <c r="M33" s="2"/>
      <c r="N33" s="8">
        <f t="shared" si="11"/>
        <v>-1.625</v>
      </c>
      <c r="O33" s="11"/>
      <c r="P33" s="7">
        <v>3562</v>
      </c>
      <c r="Q33" s="2"/>
      <c r="R33" s="8">
        <f t="shared" si="12"/>
        <v>0</v>
      </c>
      <c r="S33" s="2"/>
      <c r="T33" s="7">
        <v>4380</v>
      </c>
      <c r="U33" s="2"/>
      <c r="V33" s="8">
        <f t="shared" si="13"/>
        <v>0</v>
      </c>
      <c r="W33" s="2"/>
      <c r="X33" s="7">
        <f t="shared" si="14"/>
        <v>-818</v>
      </c>
      <c r="Y33" s="2"/>
      <c r="Z33" s="8">
        <f t="shared" si="15"/>
        <v>-0.18675799086757991</v>
      </c>
    </row>
    <row r="34" spans="1:26" s="28" customFormat="1" outlineLevel="1" collapsed="1" x14ac:dyDescent="0.3">
      <c r="A34" s="29"/>
      <c r="B34" s="14" t="str">
        <f>CONCATENATE("     ","Employees' Appreciation                           ")</f>
        <v xml:space="preserve">     Employees' Appreciation                           </v>
      </c>
      <c r="C34" s="14"/>
      <c r="D34" s="1">
        <f>SUM(OSRRefD22_2x_0)</f>
        <v>0</v>
      </c>
      <c r="E34" s="1"/>
      <c r="F34" s="5">
        <f t="shared" ref="F34:F44" si="16">IF(D$12=0,0,D34/D$12)</f>
        <v>0</v>
      </c>
      <c r="G34" s="1"/>
      <c r="H34" s="1">
        <f>SUM(OSRRefH22_2x_0)</f>
        <v>81.56</v>
      </c>
      <c r="I34" s="1"/>
      <c r="J34" s="5">
        <f t="shared" ref="J34:J44" si="17">IF(H$12=0,0,H34/H$12)</f>
        <v>0</v>
      </c>
      <c r="K34" s="1"/>
      <c r="L34" s="1">
        <f t="shared" ref="L34:L44" si="18">+D34-H34</f>
        <v>-81.56</v>
      </c>
      <c r="M34" s="1"/>
      <c r="N34" s="5">
        <f t="shared" ref="N34:N44" si="19">IF(H34=0,0,L34/H34)</f>
        <v>-1</v>
      </c>
      <c r="O34" s="14"/>
      <c r="P34" s="1">
        <f>SUM(OSRRefP22_2x_0)</f>
        <v>0</v>
      </c>
      <c r="Q34" s="1"/>
      <c r="R34" s="5">
        <f t="shared" ref="R34:R44" si="20">IF(P$12=0,0,P34/P$12)</f>
        <v>0</v>
      </c>
      <c r="S34" s="1"/>
      <c r="T34" s="1">
        <f>SUM(OSRRefT22_2x_0)</f>
        <v>81.56</v>
      </c>
      <c r="U34" s="1"/>
      <c r="V34" s="5">
        <f t="shared" ref="V34:V44" si="21">IF(T$12=0,0,T34/T$12)</f>
        <v>0</v>
      </c>
      <c r="W34" s="1"/>
      <c r="X34" s="1">
        <f t="shared" ref="X34:X44" si="22">+P34-T34</f>
        <v>-81.56</v>
      </c>
      <c r="Y34" s="1"/>
      <c r="Z34" s="5">
        <f t="shared" ref="Z34:Z44" si="23">IF(T34=0,0,X34/T34)</f>
        <v>-1</v>
      </c>
    </row>
    <row r="35" spans="1:26" s="24" customFormat="1" hidden="1" outlineLevel="2" x14ac:dyDescent="0.3">
      <c r="A35" s="27"/>
      <c r="B35" s="11" t="str">
        <f>CONCATENATE("          ", "6277", " - ", "EMPLOYEE APPRECIATION")</f>
        <v xml:space="preserve">          6277 - EMPLOYEE APPRECIATION</v>
      </c>
      <c r="C35" s="11"/>
      <c r="D35" s="7"/>
      <c r="E35" s="2"/>
      <c r="F35" s="8">
        <f t="shared" si="16"/>
        <v>0</v>
      </c>
      <c r="G35" s="2"/>
      <c r="H35" s="7">
        <v>81.56</v>
      </c>
      <c r="I35" s="2"/>
      <c r="J35" s="8">
        <f t="shared" si="17"/>
        <v>0</v>
      </c>
      <c r="K35" s="2"/>
      <c r="L35" s="7">
        <f t="shared" si="18"/>
        <v>-81.56</v>
      </c>
      <c r="M35" s="2"/>
      <c r="N35" s="8">
        <f t="shared" si="19"/>
        <v>-1</v>
      </c>
      <c r="O35" s="11"/>
      <c r="P35" s="7"/>
      <c r="Q35" s="2"/>
      <c r="R35" s="8">
        <f t="shared" si="20"/>
        <v>0</v>
      </c>
      <c r="S35" s="2"/>
      <c r="T35" s="7">
        <v>81.56</v>
      </c>
      <c r="U35" s="2"/>
      <c r="V35" s="8">
        <f t="shared" si="21"/>
        <v>0</v>
      </c>
      <c r="W35" s="2"/>
      <c r="X35" s="7">
        <f t="shared" si="22"/>
        <v>-81.56</v>
      </c>
      <c r="Y35" s="2"/>
      <c r="Z35" s="8">
        <f t="shared" si="23"/>
        <v>-1</v>
      </c>
    </row>
    <row r="36" spans="1:26" s="28" customFormat="1" outlineLevel="1" collapsed="1" x14ac:dyDescent="0.3">
      <c r="A36" s="29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SUM(OSRRefD22_3x_0)</f>
        <v>74.53</v>
      </c>
      <c r="E36" s="1"/>
      <c r="F36" s="5">
        <f t="shared" si="16"/>
        <v>0</v>
      </c>
      <c r="G36" s="1"/>
      <c r="H36" s="1">
        <f>SUM(OSRRefH22_3x_0)</f>
        <v>36.15</v>
      </c>
      <c r="I36" s="1"/>
      <c r="J36" s="5">
        <f t="shared" si="17"/>
        <v>0</v>
      </c>
      <c r="K36" s="1"/>
      <c r="L36" s="1">
        <f t="shared" si="18"/>
        <v>38.380000000000003</v>
      </c>
      <c r="M36" s="1"/>
      <c r="N36" s="5">
        <f t="shared" si="19"/>
        <v>1.0616874135546335</v>
      </c>
      <c r="O36" s="14"/>
      <c r="P36" s="1">
        <f>SUM(OSRRefP22_3x_0)</f>
        <v>76.260000000000005</v>
      </c>
      <c r="Q36" s="1"/>
      <c r="R36" s="5">
        <f t="shared" si="20"/>
        <v>0</v>
      </c>
      <c r="S36" s="1"/>
      <c r="T36" s="1">
        <f>SUM(OSRRefT22_3x_0)</f>
        <v>39.65</v>
      </c>
      <c r="U36" s="1"/>
      <c r="V36" s="5">
        <f t="shared" si="21"/>
        <v>0</v>
      </c>
      <c r="W36" s="1"/>
      <c r="X36" s="1">
        <f t="shared" si="22"/>
        <v>36.610000000000007</v>
      </c>
      <c r="Y36" s="1"/>
      <c r="Z36" s="5">
        <f t="shared" si="23"/>
        <v>0.92332912988650717</v>
      </c>
    </row>
    <row r="37" spans="1:26" s="24" customFormat="1" hidden="1" outlineLevel="2" x14ac:dyDescent="0.3">
      <c r="A37" s="27"/>
      <c r="B37" s="11" t="str">
        <f>CONCATENATE("          ", "6307", " - ", "POSTAGE")</f>
        <v xml:space="preserve">          6307 - POSTAGE</v>
      </c>
      <c r="C37" s="11"/>
      <c r="D37" s="7">
        <v>74.53</v>
      </c>
      <c r="E37" s="2"/>
      <c r="F37" s="8">
        <f t="shared" si="16"/>
        <v>0</v>
      </c>
      <c r="G37" s="2"/>
      <c r="H37" s="7">
        <v>36.15</v>
      </c>
      <c r="I37" s="2"/>
      <c r="J37" s="8">
        <f t="shared" si="17"/>
        <v>0</v>
      </c>
      <c r="K37" s="2"/>
      <c r="L37" s="7">
        <f t="shared" si="18"/>
        <v>38.380000000000003</v>
      </c>
      <c r="M37" s="2"/>
      <c r="N37" s="8">
        <f t="shared" si="19"/>
        <v>1.0616874135546335</v>
      </c>
      <c r="O37" s="11"/>
      <c r="P37" s="7">
        <v>76.260000000000005</v>
      </c>
      <c r="Q37" s="2"/>
      <c r="R37" s="8">
        <f t="shared" si="20"/>
        <v>0</v>
      </c>
      <c r="S37" s="2"/>
      <c r="T37" s="7">
        <v>39.65</v>
      </c>
      <c r="U37" s="2"/>
      <c r="V37" s="8">
        <f t="shared" si="21"/>
        <v>0</v>
      </c>
      <c r="W37" s="2"/>
      <c r="X37" s="7">
        <f t="shared" si="22"/>
        <v>36.610000000000007</v>
      </c>
      <c r="Y37" s="2"/>
      <c r="Z37" s="8">
        <f t="shared" si="23"/>
        <v>0.92332912988650717</v>
      </c>
    </row>
    <row r="38" spans="1:26" s="28" customFormat="1" outlineLevel="1" collapsed="1" x14ac:dyDescent="0.3">
      <c r="A38" s="29"/>
      <c r="B38" s="14" t="str">
        <f>CONCATENATE("     ","General                                           ")</f>
        <v xml:space="preserve">     General                                           </v>
      </c>
      <c r="C38" s="14"/>
      <c r="D38" s="1">
        <f>SUM(OSRRefD22_4x_0)</f>
        <v>200.5</v>
      </c>
      <c r="E38" s="1"/>
      <c r="F38" s="5">
        <f t="shared" si="16"/>
        <v>0</v>
      </c>
      <c r="G38" s="1"/>
      <c r="H38" s="1">
        <f>SUM(OSRRefH22_4x_0)</f>
        <v>-684</v>
      </c>
      <c r="I38" s="1"/>
      <c r="J38" s="5">
        <f t="shared" si="17"/>
        <v>0</v>
      </c>
      <c r="K38" s="1"/>
      <c r="L38" s="1">
        <f t="shared" si="18"/>
        <v>884.5</v>
      </c>
      <c r="M38" s="1"/>
      <c r="N38" s="5">
        <f t="shared" si="19"/>
        <v>-1.2931286549707601</v>
      </c>
      <c r="O38" s="14"/>
      <c r="P38" s="1">
        <f>SUM(OSRRefP22_4x_0)</f>
        <v>1230</v>
      </c>
      <c r="Q38" s="1"/>
      <c r="R38" s="5">
        <f t="shared" si="20"/>
        <v>0</v>
      </c>
      <c r="S38" s="1"/>
      <c r="T38" s="1">
        <f>SUM(OSRRefT22_4x_0)</f>
        <v>-684</v>
      </c>
      <c r="U38" s="1"/>
      <c r="V38" s="5">
        <f t="shared" si="21"/>
        <v>0</v>
      </c>
      <c r="W38" s="1"/>
      <c r="X38" s="1">
        <f t="shared" si="22"/>
        <v>1914</v>
      </c>
      <c r="Y38" s="1"/>
      <c r="Z38" s="5">
        <f t="shared" si="23"/>
        <v>-2.7982456140350878</v>
      </c>
    </row>
    <row r="39" spans="1:26" s="24" customFormat="1" hidden="1" outlineLevel="2" x14ac:dyDescent="0.3">
      <c r="A39" s="27"/>
      <c r="B39" s="11" t="str">
        <f>CONCATENATE("          ", "6279", " - ", "GENERAL EXPENSE")</f>
        <v xml:space="preserve">          6279 - GENERAL EXPENSE</v>
      </c>
      <c r="C39" s="11"/>
      <c r="D39" s="7">
        <v>200.5</v>
      </c>
      <c r="E39" s="2"/>
      <c r="F39" s="8">
        <f t="shared" si="16"/>
        <v>0</v>
      </c>
      <c r="G39" s="2"/>
      <c r="H39" s="7">
        <v>-684</v>
      </c>
      <c r="I39" s="2"/>
      <c r="J39" s="8">
        <f t="shared" si="17"/>
        <v>0</v>
      </c>
      <c r="K39" s="2"/>
      <c r="L39" s="7">
        <f t="shared" si="18"/>
        <v>884.5</v>
      </c>
      <c r="M39" s="2"/>
      <c r="N39" s="8">
        <f t="shared" si="19"/>
        <v>-1.2931286549707601</v>
      </c>
      <c r="O39" s="11"/>
      <c r="P39" s="7">
        <v>1230</v>
      </c>
      <c r="Q39" s="2"/>
      <c r="R39" s="8">
        <f t="shared" si="20"/>
        <v>0</v>
      </c>
      <c r="S39" s="2"/>
      <c r="T39" s="7">
        <v>-684</v>
      </c>
      <c r="U39" s="2"/>
      <c r="V39" s="8">
        <f t="shared" si="21"/>
        <v>0</v>
      </c>
      <c r="W39" s="2"/>
      <c r="X39" s="7">
        <f t="shared" si="22"/>
        <v>1914</v>
      </c>
      <c r="Y39" s="2"/>
      <c r="Z39" s="8">
        <f t="shared" si="23"/>
        <v>-2.7982456140350878</v>
      </c>
    </row>
    <row r="40" spans="1:26" s="28" customFormat="1" outlineLevel="1" collapsed="1" x14ac:dyDescent="0.3">
      <c r="A40" s="29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SUM(OSRRefD22_5x_0)</f>
        <v>88.99</v>
      </c>
      <c r="E40" s="1"/>
      <c r="F40" s="5">
        <f t="shared" si="16"/>
        <v>0</v>
      </c>
      <c r="G40" s="1"/>
      <c r="H40" s="1">
        <f>SUM(OSRRefH22_5x_0)</f>
        <v>65.47</v>
      </c>
      <c r="I40" s="1"/>
      <c r="J40" s="5">
        <f t="shared" si="17"/>
        <v>0</v>
      </c>
      <c r="K40" s="1"/>
      <c r="L40" s="1">
        <f t="shared" si="18"/>
        <v>23.519999999999996</v>
      </c>
      <c r="M40" s="1"/>
      <c r="N40" s="5">
        <f t="shared" si="19"/>
        <v>0.35924851076829079</v>
      </c>
      <c r="O40" s="14"/>
      <c r="P40" s="1">
        <f>SUM(OSRRefP22_5x_0)</f>
        <v>177.98</v>
      </c>
      <c r="Q40" s="1"/>
      <c r="R40" s="5">
        <f t="shared" si="20"/>
        <v>0</v>
      </c>
      <c r="S40" s="1"/>
      <c r="T40" s="1">
        <f>SUM(OSRRefT22_5x_0)</f>
        <v>130.94</v>
      </c>
      <c r="U40" s="1"/>
      <c r="V40" s="5">
        <f t="shared" si="21"/>
        <v>0</v>
      </c>
      <c r="W40" s="1"/>
      <c r="X40" s="1">
        <f t="shared" si="22"/>
        <v>47.039999999999992</v>
      </c>
      <c r="Y40" s="1"/>
      <c r="Z40" s="5">
        <f t="shared" si="23"/>
        <v>0.35924851076829079</v>
      </c>
    </row>
    <row r="41" spans="1:26" s="24" customFormat="1" hidden="1" outlineLevel="2" x14ac:dyDescent="0.3">
      <c r="A41" s="27"/>
      <c r="B41" s="11" t="str">
        <f>CONCATENATE("          ", "6314", " - ", "LIABILITY INSURANCE")</f>
        <v xml:space="preserve">          6314 - LIABILITY INSURANCE</v>
      </c>
      <c r="C41" s="11"/>
      <c r="D41" s="7">
        <v>88.99</v>
      </c>
      <c r="E41" s="2"/>
      <c r="F41" s="8">
        <f t="shared" si="16"/>
        <v>0</v>
      </c>
      <c r="G41" s="2"/>
      <c r="H41" s="7">
        <v>65.47</v>
      </c>
      <c r="I41" s="2"/>
      <c r="J41" s="8">
        <f t="shared" si="17"/>
        <v>0</v>
      </c>
      <c r="K41" s="2"/>
      <c r="L41" s="7">
        <f t="shared" si="18"/>
        <v>23.519999999999996</v>
      </c>
      <c r="M41" s="2"/>
      <c r="N41" s="8">
        <f t="shared" si="19"/>
        <v>0.35924851076829079</v>
      </c>
      <c r="O41" s="11"/>
      <c r="P41" s="7">
        <v>177.98</v>
      </c>
      <c r="Q41" s="2"/>
      <c r="R41" s="8">
        <f t="shared" si="20"/>
        <v>0</v>
      </c>
      <c r="S41" s="2"/>
      <c r="T41" s="7">
        <v>130.94</v>
      </c>
      <c r="U41" s="2"/>
      <c r="V41" s="8">
        <f t="shared" si="21"/>
        <v>0</v>
      </c>
      <c r="W41" s="2"/>
      <c r="X41" s="7">
        <f t="shared" si="22"/>
        <v>47.039999999999992</v>
      </c>
      <c r="Y41" s="2"/>
      <c r="Z41" s="8">
        <f t="shared" si="23"/>
        <v>0.35924851076829079</v>
      </c>
    </row>
    <row r="42" spans="1:26" s="28" customFormat="1" outlineLevel="1" collapsed="1" x14ac:dyDescent="0.3">
      <c r="A42" s="29"/>
      <c r="B42" s="14" t="str">
        <f>CONCATENATE("     ","Professional Services                             ")</f>
        <v xml:space="preserve">     Professional Services                             </v>
      </c>
      <c r="C42" s="14"/>
      <c r="D42" s="1">
        <f>SUM(OSRRefD22_6x_0)</f>
        <v>0</v>
      </c>
      <c r="E42" s="1"/>
      <c r="F42" s="5">
        <f t="shared" si="16"/>
        <v>0</v>
      </c>
      <c r="G42" s="1"/>
      <c r="H42" s="1">
        <f>SUM(OSRRefH22_6x_0)</f>
        <v>347.09</v>
      </c>
      <c r="I42" s="1"/>
      <c r="J42" s="5">
        <f t="shared" si="17"/>
        <v>0</v>
      </c>
      <c r="K42" s="1"/>
      <c r="L42" s="1">
        <f t="shared" si="18"/>
        <v>-347.09</v>
      </c>
      <c r="M42" s="1"/>
      <c r="N42" s="5">
        <f t="shared" si="19"/>
        <v>-1</v>
      </c>
      <c r="O42" s="14"/>
      <c r="P42" s="1">
        <f>SUM(OSRRefP22_6x_0)</f>
        <v>4950</v>
      </c>
      <c r="Q42" s="1"/>
      <c r="R42" s="5">
        <f t="shared" si="20"/>
        <v>0</v>
      </c>
      <c r="S42" s="1"/>
      <c r="T42" s="1">
        <f>SUM(OSRRefT22_6x_0)</f>
        <v>2002.09</v>
      </c>
      <c r="U42" s="1"/>
      <c r="V42" s="5">
        <f t="shared" si="21"/>
        <v>0</v>
      </c>
      <c r="W42" s="1"/>
      <c r="X42" s="1">
        <f t="shared" si="22"/>
        <v>2947.91</v>
      </c>
      <c r="Y42" s="1"/>
      <c r="Z42" s="5">
        <f t="shared" si="23"/>
        <v>1.4724163249404372</v>
      </c>
    </row>
    <row r="43" spans="1:26" s="24" customFormat="1" hidden="1" outlineLevel="2" x14ac:dyDescent="0.3">
      <c r="A43" s="27"/>
      <c r="B43" s="11" t="str">
        <f>CONCATENATE("          ", "6334", " - ", "LEGAL COUNCIL EXPENSE")</f>
        <v xml:space="preserve">          6334 - LEGAL COUNCIL EXPENSE</v>
      </c>
      <c r="C43" s="11"/>
      <c r="D43" s="7"/>
      <c r="E43" s="2"/>
      <c r="F43" s="8">
        <f t="shared" si="16"/>
        <v>0</v>
      </c>
      <c r="G43" s="2"/>
      <c r="H43" s="7"/>
      <c r="I43" s="2"/>
      <c r="J43" s="8">
        <f t="shared" si="17"/>
        <v>0</v>
      </c>
      <c r="K43" s="2"/>
      <c r="L43" s="7">
        <f t="shared" si="18"/>
        <v>0</v>
      </c>
      <c r="M43" s="2"/>
      <c r="N43" s="8">
        <f t="shared" si="19"/>
        <v>0</v>
      </c>
      <c r="O43" s="11"/>
      <c r="P43" s="7">
        <v>3255</v>
      </c>
      <c r="Q43" s="2"/>
      <c r="R43" s="8">
        <f t="shared" si="20"/>
        <v>0</v>
      </c>
      <c r="S43" s="2"/>
      <c r="T43" s="7"/>
      <c r="U43" s="2"/>
      <c r="V43" s="8">
        <f t="shared" si="21"/>
        <v>0</v>
      </c>
      <c r="W43" s="2"/>
      <c r="X43" s="7">
        <f t="shared" si="22"/>
        <v>3255</v>
      </c>
      <c r="Y43" s="2"/>
      <c r="Z43" s="8">
        <f t="shared" si="23"/>
        <v>0</v>
      </c>
    </row>
    <row r="44" spans="1:26" s="24" customFormat="1" hidden="1" outlineLevel="2" x14ac:dyDescent="0.3">
      <c r="A44" s="27"/>
      <c r="B44" s="11" t="str">
        <f>CONCATENATE("          ", "6336", " - ", "PROFESSIONAL SERVICES")</f>
        <v xml:space="preserve">          6336 - PROFESSIONAL SERVICES</v>
      </c>
      <c r="C44" s="11"/>
      <c r="D44" s="7"/>
      <c r="E44" s="2"/>
      <c r="F44" s="8">
        <f t="shared" si="16"/>
        <v>0</v>
      </c>
      <c r="G44" s="2"/>
      <c r="H44" s="7">
        <v>347.09</v>
      </c>
      <c r="I44" s="2"/>
      <c r="J44" s="8">
        <f t="shared" si="17"/>
        <v>0</v>
      </c>
      <c r="K44" s="2"/>
      <c r="L44" s="7">
        <f t="shared" si="18"/>
        <v>-347.09</v>
      </c>
      <c r="M44" s="2"/>
      <c r="N44" s="8">
        <f t="shared" si="19"/>
        <v>-1</v>
      </c>
      <c r="O44" s="11"/>
      <c r="P44" s="7">
        <v>1695</v>
      </c>
      <c r="Q44" s="2"/>
      <c r="R44" s="8">
        <f t="shared" si="20"/>
        <v>0</v>
      </c>
      <c r="S44" s="2"/>
      <c r="T44" s="7">
        <v>2002.09</v>
      </c>
      <c r="U44" s="2"/>
      <c r="V44" s="8">
        <f t="shared" si="21"/>
        <v>0</v>
      </c>
      <c r="W44" s="2"/>
      <c r="X44" s="7">
        <f t="shared" si="22"/>
        <v>-307.08999999999992</v>
      </c>
      <c r="Y44" s="2"/>
      <c r="Z44" s="8">
        <f t="shared" si="23"/>
        <v>-0.15338471297494116</v>
      </c>
    </row>
    <row r="45" spans="1:26" s="28" customFormat="1" outlineLevel="1" collapsed="1" x14ac:dyDescent="0.3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5273.52</v>
      </c>
      <c r="E45" s="1"/>
      <c r="F45" s="5">
        <f t="shared" ref="F45:F47" si="24">IF(D$12=0,0,D45/D$12)</f>
        <v>0</v>
      </c>
      <c r="G45" s="1"/>
      <c r="H45" s="1">
        <f>SUM(OSRRefH22_7x_0)</f>
        <v>3679.46</v>
      </c>
      <c r="I45" s="1"/>
      <c r="J45" s="5">
        <f t="shared" ref="J45:J47" si="25">IF(H$12=0,0,H45/H$12)</f>
        <v>0</v>
      </c>
      <c r="K45" s="1"/>
      <c r="L45" s="1">
        <f t="shared" ref="L45:L47" si="26">+D45-H45</f>
        <v>1594.0600000000004</v>
      </c>
      <c r="M45" s="1"/>
      <c r="N45" s="5">
        <f t="shared" ref="N45:N47" si="27">IF(H45=0,0,L45/H45)</f>
        <v>0.43323205035521528</v>
      </c>
      <c r="O45" s="14"/>
      <c r="P45" s="1">
        <f>SUM(OSRRefP22_7x_0)</f>
        <v>8898.4500000000007</v>
      </c>
      <c r="Q45" s="1"/>
      <c r="R45" s="5">
        <f t="shared" ref="R45:R47" si="28">IF(P$12=0,0,P45/P$12)</f>
        <v>0</v>
      </c>
      <c r="S45" s="1"/>
      <c r="T45" s="1">
        <f>SUM(OSRRefT22_7x_0)</f>
        <v>8151.71</v>
      </c>
      <c r="U45" s="1"/>
      <c r="V45" s="5">
        <f t="shared" ref="V45:V47" si="29">IF(T$12=0,0,T45/T$12)</f>
        <v>0</v>
      </c>
      <c r="W45" s="1"/>
      <c r="X45" s="1">
        <f t="shared" ref="X45:X47" si="30">+P45-T45</f>
        <v>746.74000000000069</v>
      </c>
      <c r="Y45" s="1"/>
      <c r="Z45" s="5">
        <f t="shared" ref="Z45:Z47" si="31">IF(T45=0,0,X45/T45)</f>
        <v>9.1605319620055262E-2</v>
      </c>
    </row>
    <row r="46" spans="1:26" s="24" customFormat="1" hidden="1" outlineLevel="2" x14ac:dyDescent="0.3">
      <c r="A46" s="27"/>
      <c r="B46" s="11" t="str">
        <f>CONCATENATE("          ", "6371", " - ", "COMPUTER SOFTWARE MAINTENANCE")</f>
        <v xml:space="preserve">          6371 - COMPUTER SOFTWARE MAINTENANCE</v>
      </c>
      <c r="C46" s="11"/>
      <c r="D46" s="7">
        <v>5174.93</v>
      </c>
      <c r="E46" s="2"/>
      <c r="F46" s="8">
        <f t="shared" si="24"/>
        <v>0</v>
      </c>
      <c r="G46" s="2"/>
      <c r="H46" s="7">
        <v>3679.46</v>
      </c>
      <c r="I46" s="2"/>
      <c r="J46" s="8">
        <f t="shared" si="25"/>
        <v>0</v>
      </c>
      <c r="K46" s="2"/>
      <c r="L46" s="7">
        <f t="shared" si="26"/>
        <v>1495.4700000000003</v>
      </c>
      <c r="M46" s="2"/>
      <c r="N46" s="8">
        <f t="shared" si="27"/>
        <v>0.40643735765574301</v>
      </c>
      <c r="O46" s="11"/>
      <c r="P46" s="7">
        <v>8799.86</v>
      </c>
      <c r="Q46" s="2"/>
      <c r="R46" s="8">
        <f t="shared" si="28"/>
        <v>0</v>
      </c>
      <c r="S46" s="2"/>
      <c r="T46" s="7">
        <v>8151.71</v>
      </c>
      <c r="U46" s="2"/>
      <c r="V46" s="8">
        <f t="shared" si="29"/>
        <v>0</v>
      </c>
      <c r="W46" s="2"/>
      <c r="X46" s="7">
        <f t="shared" si="30"/>
        <v>648.15000000000055</v>
      </c>
      <c r="Y46" s="2"/>
      <c r="Z46" s="8">
        <f t="shared" si="31"/>
        <v>7.9510924701688426E-2</v>
      </c>
    </row>
    <row r="47" spans="1:26" s="24" customFormat="1" hidden="1" outlineLevel="2" x14ac:dyDescent="0.3">
      <c r="A47" s="27"/>
      <c r="B47" s="11" t="str">
        <f>CONCATENATE("          ", "6373", " - ", "MAINTENANCE CONTRACTS")</f>
        <v xml:space="preserve">          6373 - MAINTENANCE CONTRACTS</v>
      </c>
      <c r="C47" s="11"/>
      <c r="D47" s="7">
        <v>98.59</v>
      </c>
      <c r="E47" s="2"/>
      <c r="F47" s="8">
        <f t="shared" si="24"/>
        <v>0</v>
      </c>
      <c r="G47" s="2"/>
      <c r="H47" s="7"/>
      <c r="I47" s="2"/>
      <c r="J47" s="8">
        <f t="shared" si="25"/>
        <v>0</v>
      </c>
      <c r="K47" s="2"/>
      <c r="L47" s="7">
        <f t="shared" si="26"/>
        <v>98.59</v>
      </c>
      <c r="M47" s="2"/>
      <c r="N47" s="8">
        <f t="shared" si="27"/>
        <v>0</v>
      </c>
      <c r="O47" s="11"/>
      <c r="P47" s="7">
        <v>98.59</v>
      </c>
      <c r="Q47" s="2"/>
      <c r="R47" s="8">
        <f t="shared" si="28"/>
        <v>0</v>
      </c>
      <c r="S47" s="2"/>
      <c r="T47" s="7"/>
      <c r="U47" s="2"/>
      <c r="V47" s="8">
        <f t="shared" si="29"/>
        <v>0</v>
      </c>
      <c r="W47" s="2"/>
      <c r="X47" s="7">
        <f t="shared" si="30"/>
        <v>98.59</v>
      </c>
      <c r="Y47" s="2"/>
      <c r="Z47" s="8">
        <f t="shared" si="31"/>
        <v>0</v>
      </c>
    </row>
    <row r="48" spans="1:26" s="28" customFormat="1" outlineLevel="1" collapsed="1" x14ac:dyDescent="0.3">
      <c r="A48" s="29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SUM(OSRRefD22_8x_0)</f>
        <v>0</v>
      </c>
      <c r="E48" s="1"/>
      <c r="F48" s="5">
        <f t="shared" ref="F48:F54" si="32">IF(D$12=0,0,D48/D$12)</f>
        <v>0</v>
      </c>
      <c r="G48" s="1"/>
      <c r="H48" s="1">
        <f>SUM(OSRRefH22_8x_0)</f>
        <v>0</v>
      </c>
      <c r="I48" s="1"/>
      <c r="J48" s="5">
        <f t="shared" ref="J48:J54" si="33">IF(H$12=0,0,H48/H$12)</f>
        <v>0</v>
      </c>
      <c r="K48" s="1"/>
      <c r="L48" s="1">
        <f t="shared" ref="L48:L54" si="34">+D48-H48</f>
        <v>0</v>
      </c>
      <c r="M48" s="1"/>
      <c r="N48" s="5">
        <f t="shared" ref="N48:N54" si="35">IF(H48=0,0,L48/H48)</f>
        <v>0</v>
      </c>
      <c r="O48" s="14"/>
      <c r="P48" s="1">
        <f>SUM(OSRRefP22_8x_0)</f>
        <v>219</v>
      </c>
      <c r="Q48" s="1"/>
      <c r="R48" s="5">
        <f t="shared" ref="R48:R54" si="36">IF(P$12=0,0,P48/P$12)</f>
        <v>0</v>
      </c>
      <c r="S48" s="1"/>
      <c r="T48" s="1">
        <f>SUM(OSRRefT22_8x_0)</f>
        <v>0</v>
      </c>
      <c r="U48" s="1"/>
      <c r="V48" s="5">
        <f t="shared" ref="V48:V54" si="37">IF(T$12=0,0,T48/T$12)</f>
        <v>0</v>
      </c>
      <c r="W48" s="1"/>
      <c r="X48" s="1">
        <f t="shared" ref="X48:X54" si="38">+P48-T48</f>
        <v>219</v>
      </c>
      <c r="Y48" s="1"/>
      <c r="Z48" s="5">
        <f t="shared" ref="Z48:Z54" si="39">IF(T48=0,0,X48/T48)</f>
        <v>0</v>
      </c>
    </row>
    <row r="49" spans="1:26" s="24" customFormat="1" hidden="1" outlineLevel="2" x14ac:dyDescent="0.3">
      <c r="A49" s="27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8">
        <f t="shared" si="32"/>
        <v>0</v>
      </c>
      <c r="G49" s="2"/>
      <c r="H49" s="7"/>
      <c r="I49" s="2"/>
      <c r="J49" s="8">
        <f t="shared" si="33"/>
        <v>0</v>
      </c>
      <c r="K49" s="2"/>
      <c r="L49" s="7">
        <f t="shared" si="34"/>
        <v>0</v>
      </c>
      <c r="M49" s="2"/>
      <c r="N49" s="8">
        <f t="shared" si="35"/>
        <v>0</v>
      </c>
      <c r="O49" s="11"/>
      <c r="P49" s="7">
        <v>219</v>
      </c>
      <c r="Q49" s="2"/>
      <c r="R49" s="8">
        <f t="shared" si="36"/>
        <v>0</v>
      </c>
      <c r="S49" s="2"/>
      <c r="T49" s="7"/>
      <c r="U49" s="2"/>
      <c r="V49" s="8">
        <f t="shared" si="37"/>
        <v>0</v>
      </c>
      <c r="W49" s="2"/>
      <c r="X49" s="7">
        <f t="shared" si="38"/>
        <v>219</v>
      </c>
      <c r="Y49" s="2"/>
      <c r="Z49" s="8">
        <f t="shared" si="39"/>
        <v>0</v>
      </c>
    </row>
    <row r="50" spans="1:26" s="28" customFormat="1" outlineLevel="1" collapsed="1" x14ac:dyDescent="0.3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SUM(OSRRefD22_9x_0)</f>
        <v>1785.91</v>
      </c>
      <c r="E50" s="1"/>
      <c r="F50" s="5">
        <f t="shared" si="32"/>
        <v>0</v>
      </c>
      <c r="G50" s="1"/>
      <c r="H50" s="1">
        <f>SUM(OSRRefH22_9x_0)</f>
        <v>476.52000000000004</v>
      </c>
      <c r="I50" s="1"/>
      <c r="J50" s="5">
        <f t="shared" si="33"/>
        <v>0</v>
      </c>
      <c r="K50" s="1"/>
      <c r="L50" s="1">
        <f t="shared" si="34"/>
        <v>1309.3900000000001</v>
      </c>
      <c r="M50" s="1"/>
      <c r="N50" s="5">
        <f t="shared" si="35"/>
        <v>2.7478175102828843</v>
      </c>
      <c r="O50" s="14"/>
      <c r="P50" s="1">
        <f>SUM(OSRRefP22_9x_0)</f>
        <v>4584.8</v>
      </c>
      <c r="Q50" s="1"/>
      <c r="R50" s="5">
        <f t="shared" si="36"/>
        <v>0</v>
      </c>
      <c r="S50" s="1"/>
      <c r="T50" s="1">
        <f>SUM(OSRRefT22_9x_0)</f>
        <v>1036.82</v>
      </c>
      <c r="U50" s="1"/>
      <c r="V50" s="5">
        <f t="shared" si="37"/>
        <v>0</v>
      </c>
      <c r="W50" s="1"/>
      <c r="X50" s="1">
        <f t="shared" si="38"/>
        <v>3547.9800000000005</v>
      </c>
      <c r="Y50" s="1"/>
      <c r="Z50" s="5">
        <f t="shared" si="39"/>
        <v>3.4219826006442782</v>
      </c>
    </row>
    <row r="51" spans="1:26" s="24" customFormat="1" hidden="1" outlineLevel="2" x14ac:dyDescent="0.3">
      <c r="A51" s="27"/>
      <c r="B51" s="11" t="str">
        <f>CONCATENATE("          ", "6235", " - ", "COVID-19 EXPENSES")</f>
        <v xml:space="preserve">          6235 - COVID-19 EXPENSES</v>
      </c>
      <c r="C51" s="11"/>
      <c r="D51" s="7"/>
      <c r="E51" s="2"/>
      <c r="F51" s="8">
        <f t="shared" si="32"/>
        <v>0</v>
      </c>
      <c r="G51" s="2"/>
      <c r="H51" s="7"/>
      <c r="I51" s="2"/>
      <c r="J51" s="8">
        <f t="shared" si="33"/>
        <v>0</v>
      </c>
      <c r="K51" s="2"/>
      <c r="L51" s="7">
        <f t="shared" si="34"/>
        <v>0</v>
      </c>
      <c r="M51" s="2"/>
      <c r="N51" s="8">
        <f t="shared" si="35"/>
        <v>0</v>
      </c>
      <c r="O51" s="11"/>
      <c r="P51" s="7">
        <v>2447.77</v>
      </c>
      <c r="Q51" s="2"/>
      <c r="R51" s="8">
        <f t="shared" si="36"/>
        <v>0</v>
      </c>
      <c r="S51" s="2"/>
      <c r="T51" s="7">
        <v>210.58</v>
      </c>
      <c r="U51" s="2"/>
      <c r="V51" s="8">
        <f t="shared" si="37"/>
        <v>0</v>
      </c>
      <c r="W51" s="2"/>
      <c r="X51" s="7">
        <f t="shared" si="38"/>
        <v>2237.19</v>
      </c>
      <c r="Y51" s="2"/>
      <c r="Z51" s="8">
        <f t="shared" si="39"/>
        <v>10.623943394434418</v>
      </c>
    </row>
    <row r="52" spans="1:26" s="24" customFormat="1" hidden="1" outlineLevel="2" x14ac:dyDescent="0.3">
      <c r="A52" s="27"/>
      <c r="B52" s="11" t="str">
        <f>CONCATENATE("          ", "6241", " - ", "OFFICE EXPENSE")</f>
        <v xml:space="preserve">          6241 - OFFICE EXPENSE</v>
      </c>
      <c r="C52" s="11"/>
      <c r="D52" s="7">
        <v>549.22</v>
      </c>
      <c r="E52" s="2"/>
      <c r="F52" s="8">
        <f t="shared" si="32"/>
        <v>0</v>
      </c>
      <c r="G52" s="2"/>
      <c r="H52" s="7">
        <v>430.48</v>
      </c>
      <c r="I52" s="2"/>
      <c r="J52" s="8">
        <f t="shared" si="33"/>
        <v>0</v>
      </c>
      <c r="K52" s="2"/>
      <c r="L52" s="7">
        <f t="shared" si="34"/>
        <v>118.74000000000001</v>
      </c>
      <c r="M52" s="2"/>
      <c r="N52" s="8">
        <f t="shared" si="35"/>
        <v>0.27583162980858578</v>
      </c>
      <c r="O52" s="11"/>
      <c r="P52" s="7">
        <v>725.34</v>
      </c>
      <c r="Q52" s="2"/>
      <c r="R52" s="8">
        <f t="shared" si="36"/>
        <v>0</v>
      </c>
      <c r="S52" s="2"/>
      <c r="T52" s="7">
        <v>678.53</v>
      </c>
      <c r="U52" s="2"/>
      <c r="V52" s="8">
        <f t="shared" si="37"/>
        <v>0</v>
      </c>
      <c r="W52" s="2"/>
      <c r="X52" s="7">
        <f t="shared" si="38"/>
        <v>46.810000000000059</v>
      </c>
      <c r="Y52" s="2"/>
      <c r="Z52" s="8">
        <f t="shared" si="39"/>
        <v>6.8987369755206196E-2</v>
      </c>
    </row>
    <row r="53" spans="1:26" s="24" customFormat="1" hidden="1" outlineLevel="2" x14ac:dyDescent="0.3">
      <c r="A53" s="27"/>
      <c r="B53" s="11" t="str">
        <f>CONCATENATE("          ", "6244", " - ", "SAFETY SUPPLY EXPENSE")</f>
        <v xml:space="preserve">          6244 - SAFETY SUPPLY EXPENSE</v>
      </c>
      <c r="C53" s="11"/>
      <c r="D53" s="7">
        <v>25</v>
      </c>
      <c r="E53" s="2"/>
      <c r="F53" s="8">
        <f t="shared" si="32"/>
        <v>0</v>
      </c>
      <c r="G53" s="2"/>
      <c r="H53" s="7">
        <v>46.04</v>
      </c>
      <c r="I53" s="2"/>
      <c r="J53" s="8">
        <f t="shared" si="33"/>
        <v>0</v>
      </c>
      <c r="K53" s="2"/>
      <c r="L53" s="7">
        <f t="shared" si="34"/>
        <v>-21.04</v>
      </c>
      <c r="M53" s="2"/>
      <c r="N53" s="8">
        <f t="shared" si="35"/>
        <v>-0.4569939183318853</v>
      </c>
      <c r="O53" s="11"/>
      <c r="P53" s="7">
        <v>200</v>
      </c>
      <c r="Q53" s="2"/>
      <c r="R53" s="8">
        <f t="shared" si="36"/>
        <v>0</v>
      </c>
      <c r="S53" s="2"/>
      <c r="T53" s="7">
        <v>147.71</v>
      </c>
      <c r="U53" s="2"/>
      <c r="V53" s="8">
        <f t="shared" si="37"/>
        <v>0</v>
      </c>
      <c r="W53" s="2"/>
      <c r="X53" s="7">
        <f t="shared" si="38"/>
        <v>52.289999999999992</v>
      </c>
      <c r="Y53" s="2"/>
      <c r="Z53" s="8">
        <f t="shared" si="39"/>
        <v>0.35400446821474502</v>
      </c>
    </row>
    <row r="54" spans="1:26" s="24" customFormat="1" hidden="1" outlineLevel="2" x14ac:dyDescent="0.3">
      <c r="A54" s="27"/>
      <c r="B54" s="11" t="str">
        <f>CONCATENATE("          ", "6248", " - ", "UNIFORMS")</f>
        <v xml:space="preserve">          6248 - UNIFORMS</v>
      </c>
      <c r="C54" s="11"/>
      <c r="D54" s="7">
        <v>1211.69</v>
      </c>
      <c r="E54" s="2"/>
      <c r="F54" s="8">
        <f t="shared" si="32"/>
        <v>0</v>
      </c>
      <c r="G54" s="2"/>
      <c r="H54" s="7"/>
      <c r="I54" s="2"/>
      <c r="J54" s="8">
        <f t="shared" si="33"/>
        <v>0</v>
      </c>
      <c r="K54" s="2"/>
      <c r="L54" s="7">
        <f t="shared" si="34"/>
        <v>1211.69</v>
      </c>
      <c r="M54" s="2"/>
      <c r="N54" s="8">
        <f t="shared" si="35"/>
        <v>0</v>
      </c>
      <c r="O54" s="11"/>
      <c r="P54" s="7">
        <v>1211.69</v>
      </c>
      <c r="Q54" s="2"/>
      <c r="R54" s="8">
        <f t="shared" si="36"/>
        <v>0</v>
      </c>
      <c r="S54" s="2"/>
      <c r="T54" s="7"/>
      <c r="U54" s="2"/>
      <c r="V54" s="8">
        <f t="shared" si="37"/>
        <v>0</v>
      </c>
      <c r="W54" s="2"/>
      <c r="X54" s="7">
        <f t="shared" si="38"/>
        <v>1211.69</v>
      </c>
      <c r="Y54" s="2"/>
      <c r="Z54" s="8">
        <f t="shared" si="39"/>
        <v>0</v>
      </c>
    </row>
    <row r="55" spans="1:26" s="28" customFormat="1" outlineLevel="1" collapsed="1" x14ac:dyDescent="0.3">
      <c r="A55" s="29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SUM(OSRRefD22_10x_0)</f>
        <v>366.05</v>
      </c>
      <c r="E55" s="1"/>
      <c r="F55" s="5">
        <f t="shared" ref="F55:F56" si="40">IF(D$12=0,0,D55/D$12)</f>
        <v>0</v>
      </c>
      <c r="G55" s="1"/>
      <c r="H55" s="1">
        <f>SUM(OSRRefH22_10x_0)</f>
        <v>339.2</v>
      </c>
      <c r="I55" s="1"/>
      <c r="J55" s="5">
        <f t="shared" ref="J55:J56" si="41">IF(H$12=0,0,H55/H$12)</f>
        <v>0</v>
      </c>
      <c r="K55" s="1"/>
      <c r="L55" s="1">
        <f t="shared" ref="L55:L56" si="42">+D55-H55</f>
        <v>26.850000000000023</v>
      </c>
      <c r="M55" s="1"/>
      <c r="N55" s="5">
        <f t="shared" ref="N55:N56" si="43">IF(H55=0,0,L55/H55)</f>
        <v>7.9156839622641584E-2</v>
      </c>
      <c r="O55" s="14"/>
      <c r="P55" s="1">
        <f>SUM(OSRRefP22_10x_0)</f>
        <v>708.35</v>
      </c>
      <c r="Q55" s="1"/>
      <c r="R55" s="5">
        <f t="shared" ref="R55:R56" si="44">IF(P$12=0,0,P55/P$12)</f>
        <v>0</v>
      </c>
      <c r="S55" s="1"/>
      <c r="T55" s="1">
        <f>SUM(OSRRefT22_10x_0)</f>
        <v>663.4</v>
      </c>
      <c r="U55" s="1"/>
      <c r="V55" s="5">
        <f t="shared" ref="V55:V56" si="45">IF(T$12=0,0,T55/T$12)</f>
        <v>0</v>
      </c>
      <c r="W55" s="1"/>
      <c r="X55" s="1">
        <f t="shared" ref="X55:X56" si="46">+P55-T55</f>
        <v>44.950000000000045</v>
      </c>
      <c r="Y55" s="1"/>
      <c r="Z55" s="5">
        <f t="shared" ref="Z55:Z56" si="47">IF(T55=0,0,X55/T55)</f>
        <v>6.7757009345794469E-2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7">
        <v>366.05</v>
      </c>
      <c r="E56" s="2"/>
      <c r="F56" s="8">
        <f t="shared" si="40"/>
        <v>0</v>
      </c>
      <c r="G56" s="2"/>
      <c r="H56" s="7">
        <v>339.2</v>
      </c>
      <c r="I56" s="2"/>
      <c r="J56" s="8">
        <f t="shared" si="41"/>
        <v>0</v>
      </c>
      <c r="K56" s="2"/>
      <c r="L56" s="7">
        <f t="shared" si="42"/>
        <v>26.850000000000023</v>
      </c>
      <c r="M56" s="2"/>
      <c r="N56" s="8">
        <f t="shared" si="43"/>
        <v>7.9156839622641584E-2</v>
      </c>
      <c r="O56" s="11"/>
      <c r="P56" s="7">
        <v>708.35</v>
      </c>
      <c r="Q56" s="2"/>
      <c r="R56" s="8">
        <f t="shared" si="44"/>
        <v>0</v>
      </c>
      <c r="S56" s="2"/>
      <c r="T56" s="7">
        <v>663.4</v>
      </c>
      <c r="U56" s="2"/>
      <c r="V56" s="8">
        <f t="shared" si="45"/>
        <v>0</v>
      </c>
      <c r="W56" s="2"/>
      <c r="X56" s="7">
        <f t="shared" si="46"/>
        <v>44.950000000000045</v>
      </c>
      <c r="Y56" s="2"/>
      <c r="Z56" s="8">
        <f t="shared" si="47"/>
        <v>6.7757009345794469E-2</v>
      </c>
    </row>
    <row r="57" spans="1:26" s="61" customFormat="1" x14ac:dyDescent="0.3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6" t="s">
        <v>292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6"/>
      <c r="G59" s="3"/>
      <c r="H59" s="3"/>
      <c r="I59" s="3"/>
      <c r="J59" s="6"/>
      <c r="K59" s="3"/>
      <c r="L59" s="3"/>
      <c r="M59" s="3"/>
      <c r="N59" s="6"/>
      <c r="O59" s="10"/>
      <c r="P59" s="3"/>
      <c r="Q59" s="3"/>
      <c r="R59" s="6"/>
      <c r="S59" s="3"/>
      <c r="T59" s="3"/>
      <c r="U59" s="3"/>
      <c r="V59" s="6"/>
      <c r="W59" s="3"/>
      <c r="X59" s="3"/>
      <c r="Y59" s="3"/>
      <c r="Z59" s="6"/>
    </row>
    <row r="60" spans="1:26" s="23" customFormat="1" x14ac:dyDescent="0.3">
      <c r="A60" s="10"/>
      <c r="B60" s="25" t="s">
        <v>276</v>
      </c>
      <c r="C60" s="25"/>
      <c r="D60" s="20">
        <f>+D16-D18+D58</f>
        <v>-47897.97</v>
      </c>
      <c r="E60" s="13"/>
      <c r="F60" s="22">
        <f>IF(D$12=0,0,D60/D$12)</f>
        <v>0</v>
      </c>
      <c r="G60" s="13"/>
      <c r="H60" s="20">
        <f>+H16-H18+H58</f>
        <v>-41292.079999999994</v>
      </c>
      <c r="I60" s="13"/>
      <c r="J60" s="22">
        <f>IF(H$12=0,0,H60/H$12)</f>
        <v>0</v>
      </c>
      <c r="K60" s="15"/>
      <c r="L60" s="20">
        <f>+D60-H60</f>
        <v>-6605.8900000000067</v>
      </c>
      <c r="M60" s="15"/>
      <c r="N60" s="22">
        <f>IF(H60=0,0,L60/H60)</f>
        <v>0.15997958930623032</v>
      </c>
      <c r="O60" s="26"/>
      <c r="P60" s="20">
        <f>+P16-P18+P58</f>
        <v>-106528.35</v>
      </c>
      <c r="Q60" s="13"/>
      <c r="R60" s="22">
        <f>IF(P$12=0,0,P60/P$12)</f>
        <v>0</v>
      </c>
      <c r="S60" s="13"/>
      <c r="T60" s="20">
        <f>+T16-T18+T58</f>
        <v>-92335.59</v>
      </c>
      <c r="U60" s="13"/>
      <c r="V60" s="22">
        <f>IF(T$12=0,0,T60/T$12)</f>
        <v>0</v>
      </c>
      <c r="W60" s="15"/>
      <c r="X60" s="20">
        <f>+P60-T60</f>
        <v>-14192.760000000009</v>
      </c>
      <c r="Y60" s="15"/>
      <c r="Z60" s="22">
        <f>IF(T60=0,0,X60/T60)</f>
        <v>0.15370844546506943</v>
      </c>
    </row>
    <row r="61" spans="1:26" x14ac:dyDescent="0.3">
      <c r="A61" s="9"/>
      <c r="B61" s="10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x14ac:dyDescent="0.3">
      <c r="A62" s="51"/>
      <c r="B62" s="10" t="s">
        <v>127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">
      <c r="A63" s="9"/>
      <c r="B63" s="10"/>
      <c r="C63" s="10"/>
      <c r="D63" s="3"/>
      <c r="E63" s="3"/>
      <c r="F63" s="6"/>
      <c r="G63" s="3"/>
      <c r="H63" s="3"/>
      <c r="I63" s="3"/>
      <c r="J63" s="6"/>
      <c r="K63" s="3"/>
      <c r="L63" s="3"/>
      <c r="M63" s="3"/>
      <c r="N63" s="6"/>
      <c r="O63" s="10"/>
      <c r="P63" s="3"/>
      <c r="Q63" s="3"/>
      <c r="R63" s="6"/>
      <c r="S63" s="3"/>
      <c r="T63" s="3"/>
      <c r="U63" s="3"/>
      <c r="V63" s="6"/>
      <c r="W63" s="3"/>
      <c r="X63" s="3"/>
      <c r="Y63" s="3"/>
      <c r="Z63" s="6"/>
    </row>
    <row r="64" spans="1:26" s="23" customFormat="1" ht="15" thickBot="1" x14ac:dyDescent="0.35">
      <c r="A64" s="10"/>
      <c r="B64" s="25" t="s">
        <v>125</v>
      </c>
      <c r="C64" s="25"/>
      <c r="D64" s="33">
        <f>+D60-D62</f>
        <v>-47897.97</v>
      </c>
      <c r="E64" s="13"/>
      <c r="F64" s="36">
        <f>IF(D$12=0,0,D64/D$12)</f>
        <v>0</v>
      </c>
      <c r="G64" s="13"/>
      <c r="H64" s="33">
        <f>+H60-H62</f>
        <v>-41292.079999999994</v>
      </c>
      <c r="I64" s="13"/>
      <c r="J64" s="36">
        <f>IF(H$12=0,0,H64/H$12)</f>
        <v>0</v>
      </c>
      <c r="K64" s="15"/>
      <c r="L64" s="33">
        <f>D64-H64</f>
        <v>-6605.8900000000067</v>
      </c>
      <c r="M64" s="15"/>
      <c r="N64" s="36">
        <f>IF(H64=0,0,L64/H64)</f>
        <v>0.15997958930623032</v>
      </c>
      <c r="O64" s="26"/>
      <c r="P64" s="33">
        <f>+P60-P62</f>
        <v>-106528.35</v>
      </c>
      <c r="Q64" s="13"/>
      <c r="R64" s="36">
        <f>IF(P$12=0,0,P64/P$12)</f>
        <v>0</v>
      </c>
      <c r="S64" s="13"/>
      <c r="T64" s="33">
        <f>+T60-T62</f>
        <v>-92335.59</v>
      </c>
      <c r="U64" s="13"/>
      <c r="V64" s="36">
        <f>IF(T$12=0,0,T64/T$12)</f>
        <v>0</v>
      </c>
      <c r="W64" s="15"/>
      <c r="X64" s="33">
        <f>P64-T64</f>
        <v>-14192.760000000009</v>
      </c>
      <c r="Y64" s="15"/>
      <c r="Z64" s="36">
        <f>IF(T64=0,0,X64/T64)</f>
        <v>0.15370844546506943</v>
      </c>
    </row>
    <row r="65" spans="1:26" ht="15" thickTop="1" x14ac:dyDescent="0.3">
      <c r="A65" s="9"/>
      <c r="B65" s="9"/>
      <c r="C65" s="9"/>
      <c r="D65" s="3"/>
      <c r="E65" s="3"/>
      <c r="F65" s="6"/>
      <c r="G65" s="3"/>
      <c r="H65" s="3"/>
      <c r="I65" s="3"/>
      <c r="J65" s="6"/>
      <c r="K65" s="3"/>
      <c r="L65" s="3"/>
      <c r="M65" s="3"/>
      <c r="N65" s="6"/>
      <c r="P65" s="3"/>
      <c r="Q65" s="3"/>
      <c r="R65" s="6"/>
      <c r="S65" s="3"/>
      <c r="T65" s="3"/>
      <c r="U65" s="3"/>
      <c r="V65" s="6"/>
      <c r="W65" s="3"/>
      <c r="X65" s="3"/>
      <c r="Y65" s="3"/>
      <c r="Z65" s="6"/>
    </row>
    <row r="66" spans="1:26" x14ac:dyDescent="0.3">
      <c r="A66" s="9"/>
      <c r="B66" s="9"/>
      <c r="C66" s="9"/>
      <c r="D66" s="3"/>
      <c r="E66" s="3"/>
      <c r="F66" s="6"/>
      <c r="G66" s="3"/>
      <c r="H66" s="3"/>
      <c r="I66" s="3"/>
      <c r="J66" s="6"/>
      <c r="K66" s="3"/>
      <c r="L66" s="3"/>
      <c r="M66" s="3"/>
      <c r="N66" s="6"/>
      <c r="P66" s="3"/>
      <c r="Q66" s="3"/>
      <c r="R66" s="6"/>
      <c r="S66" s="3"/>
      <c r="T66" s="3"/>
      <c r="U66" s="3"/>
      <c r="V66" s="6"/>
      <c r="W66" s="3"/>
      <c r="X66" s="3"/>
      <c r="Y66" s="3"/>
      <c r="Z66" s="6"/>
    </row>
    <row r="67" spans="1:26" s="23" customFormat="1" ht="15" thickBot="1" x14ac:dyDescent="0.35">
      <c r="A67" s="10"/>
      <c r="B67" s="25" t="s">
        <v>293</v>
      </c>
      <c r="C67" s="25"/>
      <c r="D67" s="30">
        <f>SUM(D64:D66)</f>
        <v>-47897.97</v>
      </c>
      <c r="E67" s="13"/>
      <c r="F67" s="31">
        <f>IF(D$12=0,0,D67/D$12)</f>
        <v>0</v>
      </c>
      <c r="G67" s="13"/>
      <c r="H67" s="30">
        <f>SUM(H64:H66)</f>
        <v>-41292.079999999994</v>
      </c>
      <c r="I67" s="13"/>
      <c r="J67" s="31">
        <f>IF(H$12=0,0,H67/H$12)</f>
        <v>0</v>
      </c>
      <c r="K67" s="15"/>
      <c r="L67" s="30">
        <f>+D67-H67</f>
        <v>-6605.8900000000067</v>
      </c>
      <c r="M67" s="15"/>
      <c r="N67" s="31">
        <f>IF(H67=0,0,L67/H67)</f>
        <v>0.15997958930623032</v>
      </c>
      <c r="O67" s="26"/>
      <c r="P67" s="30">
        <f>SUM(P64:P66)</f>
        <v>-106528.35</v>
      </c>
      <c r="Q67" s="13"/>
      <c r="R67" s="31">
        <f>IF(P$12=0,0,P67/P$12)</f>
        <v>0</v>
      </c>
      <c r="S67" s="13"/>
      <c r="T67" s="30">
        <f>SUM(T64:T66)</f>
        <v>-92335.59</v>
      </c>
      <c r="U67" s="13"/>
      <c r="V67" s="31">
        <f>IF(T$12=0,0,T67/T$12)</f>
        <v>0</v>
      </c>
      <c r="W67" s="15"/>
      <c r="X67" s="30">
        <f>+P67-T67</f>
        <v>-14192.760000000009</v>
      </c>
      <c r="Y67" s="15"/>
      <c r="Z67" s="31">
        <f>IF(T67=0,0,X67/T67)</f>
        <v>0.15370844546506943</v>
      </c>
    </row>
    <row r="68" spans="1:26" ht="15" thickTop="1" x14ac:dyDescent="0.3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59">
        <v>44470.840542939812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A70" s="9"/>
      <c r="B70" s="58" t="s">
        <v>56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5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","204", " - ", "Information Technology")</f>
        <v>Department 204 - Information Technology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43235.12</v>
      </c>
      <c r="E18" s="21"/>
      <c r="F18" s="32">
        <f t="shared" ref="F18:F28" si="0">IF(D$12=0,0,D18/D$12)</f>
        <v>0</v>
      </c>
      <c r="G18" s="21"/>
      <c r="H18" s="21">
        <f>SUM(OSRRefH22x_0)</f>
        <v>49895.869999999988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-6660.7499999999854</v>
      </c>
      <c r="M18" s="4"/>
      <c r="N18" s="32">
        <f t="shared" ref="N18:N28" si="3">IF(H18=0,0,L18/H18)</f>
        <v>-0.13349301254793206</v>
      </c>
      <c r="O18" s="10"/>
      <c r="P18" s="21">
        <f>SUM(OSRRefP22x_0)</f>
        <v>91089.110000000015</v>
      </c>
      <c r="Q18" s="21"/>
      <c r="R18" s="32">
        <f t="shared" ref="R18:R28" si="4">IF(P$12=0,0,P18/P$12)</f>
        <v>0</v>
      </c>
      <c r="S18" s="21"/>
      <c r="T18" s="21">
        <f>SUM(OSRRefT22x_0)</f>
        <v>106804.62999999998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-15715.51999999996</v>
      </c>
      <c r="Y18" s="4"/>
      <c r="Z18" s="32">
        <f t="shared" ref="Z18:Z28" si="7">IF(T18=0,0,X18/T18)</f>
        <v>-0.1471426847319256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10818.99</v>
      </c>
      <c r="E19" s="1"/>
      <c r="F19" s="5">
        <f t="shared" si="0"/>
        <v>0</v>
      </c>
      <c r="G19" s="1"/>
      <c r="H19" s="1">
        <f>SUM(OSRRefH22_0x_0)</f>
        <v>12084.119999999999</v>
      </c>
      <c r="I19" s="1"/>
      <c r="J19" s="5">
        <f t="shared" si="1"/>
        <v>0</v>
      </c>
      <c r="K19" s="1"/>
      <c r="L19" s="1">
        <f t="shared" si="2"/>
        <v>-1265.1299999999992</v>
      </c>
      <c r="M19" s="1"/>
      <c r="N19" s="5">
        <f t="shared" si="3"/>
        <v>-0.10469359787886907</v>
      </c>
      <c r="O19" s="14"/>
      <c r="P19" s="1">
        <f>SUM(OSRRefP22_0x_0)</f>
        <v>21540.17</v>
      </c>
      <c r="Q19" s="1"/>
      <c r="R19" s="5">
        <f t="shared" si="4"/>
        <v>0</v>
      </c>
      <c r="S19" s="1"/>
      <c r="T19" s="1">
        <f>SUM(OSRRefT22_0x_0)</f>
        <v>25134.670000000002</v>
      </c>
      <c r="U19" s="1"/>
      <c r="V19" s="5">
        <f t="shared" si="5"/>
        <v>0</v>
      </c>
      <c r="W19" s="1"/>
      <c r="X19" s="1">
        <f t="shared" si="6"/>
        <v>-3594.5000000000036</v>
      </c>
      <c r="Y19" s="1"/>
      <c r="Z19" s="5">
        <f t="shared" si="7"/>
        <v>-0.14300963569444131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8">
        <f t="shared" si="0"/>
        <v>0</v>
      </c>
      <c r="G20" s="2"/>
      <c r="H20" s="7">
        <v>1651.98</v>
      </c>
      <c r="I20" s="2"/>
      <c r="J20" s="8">
        <f t="shared" si="1"/>
        <v>0</v>
      </c>
      <c r="K20" s="2"/>
      <c r="L20" s="7">
        <f t="shared" si="2"/>
        <v>-234.83999999999992</v>
      </c>
      <c r="M20" s="2"/>
      <c r="N20" s="8">
        <f t="shared" si="3"/>
        <v>-0.14215668470562592</v>
      </c>
      <c r="O20" s="11"/>
      <c r="P20" s="7">
        <v>2817.06</v>
      </c>
      <c r="Q20" s="2"/>
      <c r="R20" s="8">
        <f t="shared" si="4"/>
        <v>0</v>
      </c>
      <c r="S20" s="2"/>
      <c r="T20" s="7">
        <v>3306.08</v>
      </c>
      <c r="U20" s="2"/>
      <c r="V20" s="8">
        <f t="shared" si="5"/>
        <v>0</v>
      </c>
      <c r="W20" s="2"/>
      <c r="X20" s="7">
        <f t="shared" si="6"/>
        <v>-489.02</v>
      </c>
      <c r="Y20" s="2"/>
      <c r="Z20" s="8">
        <f t="shared" si="7"/>
        <v>-0.14791535595024924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238.97</v>
      </c>
      <c r="E21" s="2"/>
      <c r="F21" s="8">
        <f t="shared" si="0"/>
        <v>0</v>
      </c>
      <c r="G21" s="2"/>
      <c r="H21" s="7">
        <v>71.260000000000005</v>
      </c>
      <c r="I21" s="2"/>
      <c r="J21" s="8">
        <f t="shared" si="1"/>
        <v>0</v>
      </c>
      <c r="K21" s="2"/>
      <c r="L21" s="7">
        <f t="shared" si="2"/>
        <v>167.70999999999998</v>
      </c>
      <c r="M21" s="2"/>
      <c r="N21" s="8">
        <f t="shared" si="3"/>
        <v>2.3534942464215542</v>
      </c>
      <c r="O21" s="11"/>
      <c r="P21" s="7">
        <v>475.04</v>
      </c>
      <c r="Q21" s="2"/>
      <c r="R21" s="8">
        <f t="shared" si="4"/>
        <v>0</v>
      </c>
      <c r="S21" s="2"/>
      <c r="T21" s="7">
        <v>142.61000000000001</v>
      </c>
      <c r="U21" s="2"/>
      <c r="V21" s="8">
        <f t="shared" si="5"/>
        <v>0</v>
      </c>
      <c r="W21" s="2"/>
      <c r="X21" s="7">
        <f t="shared" si="6"/>
        <v>332.43</v>
      </c>
      <c r="Y21" s="2"/>
      <c r="Z21" s="8">
        <f t="shared" si="7"/>
        <v>2.3310427038777082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4833.2700000000004</v>
      </c>
      <c r="E22" s="2"/>
      <c r="F22" s="8">
        <f t="shared" si="0"/>
        <v>0</v>
      </c>
      <c r="G22" s="2"/>
      <c r="H22" s="7">
        <v>5567.87</v>
      </c>
      <c r="I22" s="2"/>
      <c r="J22" s="8">
        <f t="shared" si="1"/>
        <v>0</v>
      </c>
      <c r="K22" s="2"/>
      <c r="L22" s="7">
        <f t="shared" si="2"/>
        <v>-734.59999999999945</v>
      </c>
      <c r="M22" s="2"/>
      <c r="N22" s="8">
        <f t="shared" si="3"/>
        <v>-0.13193555165619877</v>
      </c>
      <c r="O22" s="11"/>
      <c r="P22" s="7">
        <v>9666.5400000000009</v>
      </c>
      <c r="Q22" s="2"/>
      <c r="R22" s="8">
        <f t="shared" si="4"/>
        <v>0</v>
      </c>
      <c r="S22" s="2"/>
      <c r="T22" s="7">
        <v>11135.74</v>
      </c>
      <c r="U22" s="2"/>
      <c r="V22" s="8">
        <f t="shared" si="5"/>
        <v>0</v>
      </c>
      <c r="W22" s="2"/>
      <c r="X22" s="7">
        <f t="shared" si="6"/>
        <v>-1469.1999999999989</v>
      </c>
      <c r="Y22" s="2"/>
      <c r="Z22" s="8">
        <f t="shared" si="7"/>
        <v>-0.13193555165619877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8">
        <f t="shared" si="0"/>
        <v>0</v>
      </c>
      <c r="G23" s="2"/>
      <c r="H23" s="7">
        <v>56.14</v>
      </c>
      <c r="I23" s="2"/>
      <c r="J23" s="8">
        <f t="shared" si="1"/>
        <v>0</v>
      </c>
      <c r="K23" s="2"/>
      <c r="L23" s="7">
        <f t="shared" si="2"/>
        <v>-7.980000000000004</v>
      </c>
      <c r="M23" s="2"/>
      <c r="N23" s="8">
        <f t="shared" si="3"/>
        <v>-0.14214463840399008</v>
      </c>
      <c r="O23" s="11"/>
      <c r="P23" s="7">
        <v>95.74</v>
      </c>
      <c r="Q23" s="2"/>
      <c r="R23" s="8">
        <f t="shared" si="4"/>
        <v>0</v>
      </c>
      <c r="S23" s="2"/>
      <c r="T23" s="7">
        <v>112.36</v>
      </c>
      <c r="U23" s="2"/>
      <c r="V23" s="8">
        <f t="shared" si="5"/>
        <v>0</v>
      </c>
      <c r="W23" s="2"/>
      <c r="X23" s="7">
        <f t="shared" si="6"/>
        <v>-16.620000000000005</v>
      </c>
      <c r="Y23" s="2"/>
      <c r="Z23" s="8">
        <f t="shared" si="7"/>
        <v>-0.14791740833036671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1834.11</v>
      </c>
      <c r="E24" s="2"/>
      <c r="F24" s="8">
        <f t="shared" si="0"/>
        <v>0</v>
      </c>
      <c r="G24" s="2"/>
      <c r="H24" s="7">
        <v>1861.21</v>
      </c>
      <c r="I24" s="2"/>
      <c r="J24" s="8">
        <f t="shared" si="1"/>
        <v>0</v>
      </c>
      <c r="K24" s="2"/>
      <c r="L24" s="7">
        <f t="shared" si="2"/>
        <v>-27.100000000000136</v>
      </c>
      <c r="M24" s="2"/>
      <c r="N24" s="8">
        <f t="shared" si="3"/>
        <v>-1.4560420371693757E-2</v>
      </c>
      <c r="O24" s="11"/>
      <c r="P24" s="7">
        <v>3668.22</v>
      </c>
      <c r="Q24" s="2"/>
      <c r="R24" s="8">
        <f t="shared" si="4"/>
        <v>0</v>
      </c>
      <c r="S24" s="2"/>
      <c r="T24" s="7">
        <v>4653.0200000000004</v>
      </c>
      <c r="U24" s="2"/>
      <c r="V24" s="8">
        <f t="shared" si="5"/>
        <v>0</v>
      </c>
      <c r="W24" s="2"/>
      <c r="X24" s="7">
        <f t="shared" si="6"/>
        <v>-984.80000000000064</v>
      </c>
      <c r="Y24" s="2"/>
      <c r="Z24" s="8">
        <f t="shared" si="7"/>
        <v>-0.2116474891575795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8">
        <f t="shared" si="0"/>
        <v>0</v>
      </c>
      <c r="G25" s="2"/>
      <c r="H25" s="7">
        <v>167.53</v>
      </c>
      <c r="I25" s="2"/>
      <c r="J25" s="8">
        <f t="shared" si="1"/>
        <v>0</v>
      </c>
      <c r="K25" s="2"/>
      <c r="L25" s="7">
        <f t="shared" si="2"/>
        <v>-167.53</v>
      </c>
      <c r="M25" s="2"/>
      <c r="N25" s="8">
        <f t="shared" si="3"/>
        <v>-1</v>
      </c>
      <c r="O25" s="11"/>
      <c r="P25" s="7"/>
      <c r="Q25" s="2"/>
      <c r="R25" s="8">
        <f t="shared" si="4"/>
        <v>0</v>
      </c>
      <c r="S25" s="2"/>
      <c r="T25" s="7">
        <v>419.05</v>
      </c>
      <c r="U25" s="2"/>
      <c r="V25" s="8">
        <f t="shared" si="5"/>
        <v>0</v>
      </c>
      <c r="W25" s="2"/>
      <c r="X25" s="7">
        <f t="shared" si="6"/>
        <v>-419.05</v>
      </c>
      <c r="Y25" s="2"/>
      <c r="Z25" s="8">
        <f t="shared" si="7"/>
        <v>-1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1349.22</v>
      </c>
      <c r="E26" s="2"/>
      <c r="F26" s="8">
        <f t="shared" si="0"/>
        <v>0</v>
      </c>
      <c r="G26" s="2"/>
      <c r="H26" s="7">
        <v>1474.64</v>
      </c>
      <c r="I26" s="2"/>
      <c r="J26" s="8">
        <f t="shared" si="1"/>
        <v>0</v>
      </c>
      <c r="K26" s="2"/>
      <c r="L26" s="7">
        <f t="shared" si="2"/>
        <v>-125.42000000000007</v>
      </c>
      <c r="M26" s="2"/>
      <c r="N26" s="8">
        <f t="shared" si="3"/>
        <v>-8.5051266749850848E-2</v>
      </c>
      <c r="O26" s="11"/>
      <c r="P26" s="7">
        <v>2740.1</v>
      </c>
      <c r="Q26" s="2"/>
      <c r="R26" s="8">
        <f t="shared" si="4"/>
        <v>0</v>
      </c>
      <c r="S26" s="2"/>
      <c r="T26" s="7">
        <v>2949.28</v>
      </c>
      <c r="U26" s="2"/>
      <c r="V26" s="8">
        <f t="shared" si="5"/>
        <v>0</v>
      </c>
      <c r="W26" s="2"/>
      <c r="X26" s="7">
        <f t="shared" si="6"/>
        <v>-209.18000000000029</v>
      </c>
      <c r="Y26" s="2"/>
      <c r="Z26" s="8">
        <f t="shared" si="7"/>
        <v>-7.0925785276406542E-2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844.06</v>
      </c>
      <c r="E27" s="2"/>
      <c r="F27" s="8">
        <f t="shared" si="0"/>
        <v>0</v>
      </c>
      <c r="G27" s="2"/>
      <c r="H27" s="7">
        <v>999.04</v>
      </c>
      <c r="I27" s="2"/>
      <c r="J27" s="8">
        <f t="shared" si="1"/>
        <v>0</v>
      </c>
      <c r="K27" s="2"/>
      <c r="L27" s="7">
        <f t="shared" si="2"/>
        <v>-154.98000000000002</v>
      </c>
      <c r="M27" s="2"/>
      <c r="N27" s="8">
        <f t="shared" si="3"/>
        <v>-0.15512892376681617</v>
      </c>
      <c r="O27" s="11"/>
      <c r="P27" s="7">
        <v>1688.12</v>
      </c>
      <c r="Q27" s="2"/>
      <c r="R27" s="8">
        <f t="shared" si="4"/>
        <v>0</v>
      </c>
      <c r="S27" s="2"/>
      <c r="T27" s="7">
        <v>1998.08</v>
      </c>
      <c r="U27" s="2"/>
      <c r="V27" s="8">
        <f t="shared" si="5"/>
        <v>0</v>
      </c>
      <c r="W27" s="2"/>
      <c r="X27" s="7">
        <f t="shared" si="6"/>
        <v>-309.96000000000004</v>
      </c>
      <c r="Y27" s="2"/>
      <c r="Z27" s="8">
        <f t="shared" si="7"/>
        <v>-0.15512892376681617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254.06</v>
      </c>
      <c r="E28" s="2"/>
      <c r="F28" s="8">
        <f t="shared" si="0"/>
        <v>0</v>
      </c>
      <c r="G28" s="2"/>
      <c r="H28" s="7">
        <v>234.45</v>
      </c>
      <c r="I28" s="2"/>
      <c r="J28" s="8">
        <f t="shared" si="1"/>
        <v>0</v>
      </c>
      <c r="K28" s="2"/>
      <c r="L28" s="7">
        <f t="shared" si="2"/>
        <v>19.610000000000014</v>
      </c>
      <c r="M28" s="2"/>
      <c r="N28" s="8">
        <f t="shared" si="3"/>
        <v>8.3642567711665658E-2</v>
      </c>
      <c r="O28" s="11"/>
      <c r="P28" s="7">
        <v>389.35</v>
      </c>
      <c r="Q28" s="2"/>
      <c r="R28" s="8">
        <f t="shared" si="4"/>
        <v>0</v>
      </c>
      <c r="S28" s="2"/>
      <c r="T28" s="7">
        <v>418.45</v>
      </c>
      <c r="U28" s="2"/>
      <c r="V28" s="8">
        <f t="shared" si="5"/>
        <v>0</v>
      </c>
      <c r="W28" s="2"/>
      <c r="X28" s="7">
        <f t="shared" si="6"/>
        <v>-29.099999999999966</v>
      </c>
      <c r="Y28" s="2"/>
      <c r="Z28" s="8">
        <f t="shared" si="7"/>
        <v>-6.9542358704743623E-2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17764.14</v>
      </c>
      <c r="E29" s="1"/>
      <c r="F29" s="5">
        <f t="shared" ref="F29:F32" si="8">IF(D$12=0,0,D29/D$12)</f>
        <v>0</v>
      </c>
      <c r="G29" s="1"/>
      <c r="H29" s="1">
        <f>SUM(OSRRefH22_1x_0)</f>
        <v>19282.84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-1518.7000000000007</v>
      </c>
      <c r="M29" s="1"/>
      <c r="N29" s="5">
        <f t="shared" ref="N29:N32" si="11">IF(H29=0,0,L29/H29)</f>
        <v>-7.8759145437082956E-2</v>
      </c>
      <c r="O29" s="14"/>
      <c r="P29" s="1">
        <f>SUM(OSRRefP22_1x_0)</f>
        <v>38906.410000000003</v>
      </c>
      <c r="Q29" s="1"/>
      <c r="R29" s="5">
        <f t="shared" ref="R29:R32" si="12">IF(P$12=0,0,P29/P$12)</f>
        <v>0</v>
      </c>
      <c r="S29" s="1"/>
      <c r="T29" s="1">
        <f>SUM(OSRRefT22_1x_0)</f>
        <v>44829.26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-5922.8499999999985</v>
      </c>
      <c r="Y29" s="1"/>
      <c r="Z29" s="5">
        <f t="shared" ref="Z29:Z32" si="15">IF(T29=0,0,X29/T29)</f>
        <v>-0.13212018222027305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17764.14</v>
      </c>
      <c r="E30" s="2"/>
      <c r="F30" s="8">
        <f t="shared" si="8"/>
        <v>0</v>
      </c>
      <c r="G30" s="2"/>
      <c r="H30" s="7">
        <v>17443.39</v>
      </c>
      <c r="I30" s="2"/>
      <c r="J30" s="8">
        <f t="shared" si="9"/>
        <v>0</v>
      </c>
      <c r="K30" s="2"/>
      <c r="L30" s="7">
        <f t="shared" si="10"/>
        <v>320.75</v>
      </c>
      <c r="M30" s="2"/>
      <c r="N30" s="8">
        <f t="shared" si="11"/>
        <v>1.8388054156904133E-2</v>
      </c>
      <c r="O30" s="11"/>
      <c r="P30" s="7">
        <v>38906.410000000003</v>
      </c>
      <c r="Q30" s="2"/>
      <c r="R30" s="8">
        <f t="shared" si="12"/>
        <v>0</v>
      </c>
      <c r="S30" s="2"/>
      <c r="T30" s="7">
        <v>38800.47</v>
      </c>
      <c r="U30" s="2"/>
      <c r="V30" s="8">
        <f t="shared" si="13"/>
        <v>0</v>
      </c>
      <c r="W30" s="2"/>
      <c r="X30" s="7">
        <f t="shared" si="14"/>
        <v>105.94000000000233</v>
      </c>
      <c r="Y30" s="2"/>
      <c r="Z30" s="8">
        <f t="shared" si="15"/>
        <v>2.7303792969518752E-3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8">
        <f t="shared" si="8"/>
        <v>0</v>
      </c>
      <c r="G31" s="2"/>
      <c r="H31" s="7">
        <v>2678.45</v>
      </c>
      <c r="I31" s="2"/>
      <c r="J31" s="8">
        <f t="shared" si="9"/>
        <v>0</v>
      </c>
      <c r="K31" s="2"/>
      <c r="L31" s="7">
        <f t="shared" si="10"/>
        <v>-2678.45</v>
      </c>
      <c r="M31" s="2"/>
      <c r="N31" s="8">
        <f t="shared" si="11"/>
        <v>-1</v>
      </c>
      <c r="O31" s="11"/>
      <c r="P31" s="7"/>
      <c r="Q31" s="2"/>
      <c r="R31" s="8">
        <f t="shared" si="12"/>
        <v>0</v>
      </c>
      <c r="S31" s="2"/>
      <c r="T31" s="7">
        <v>6028.79</v>
      </c>
      <c r="U31" s="2"/>
      <c r="V31" s="8">
        <f t="shared" si="13"/>
        <v>0</v>
      </c>
      <c r="W31" s="2"/>
      <c r="X31" s="7">
        <f t="shared" si="14"/>
        <v>-6028.79</v>
      </c>
      <c r="Y31" s="2"/>
      <c r="Z31" s="8">
        <f t="shared" si="15"/>
        <v>-1</v>
      </c>
    </row>
    <row r="32" spans="1:26" s="24" customFormat="1" hidden="1" outlineLevel="2" x14ac:dyDescent="0.3">
      <c r="A32" s="27"/>
      <c r="B32" s="11" t="str">
        <f>CONCATENATE("          ", "6007", " - ", "STUDENT HOURLY")</f>
        <v xml:space="preserve">          6007 - STUDENT HOURLY</v>
      </c>
      <c r="C32" s="11"/>
      <c r="D32" s="7"/>
      <c r="E32" s="2"/>
      <c r="F32" s="8">
        <f t="shared" si="8"/>
        <v>0</v>
      </c>
      <c r="G32" s="2"/>
      <c r="H32" s="7">
        <v>-839</v>
      </c>
      <c r="I32" s="2"/>
      <c r="J32" s="8">
        <f t="shared" si="9"/>
        <v>0</v>
      </c>
      <c r="K32" s="2"/>
      <c r="L32" s="7">
        <f t="shared" si="10"/>
        <v>839</v>
      </c>
      <c r="M32" s="2"/>
      <c r="N32" s="8">
        <f t="shared" si="11"/>
        <v>-1</v>
      </c>
      <c r="O32" s="11"/>
      <c r="P32" s="7"/>
      <c r="Q32" s="2"/>
      <c r="R32" s="8">
        <f t="shared" si="12"/>
        <v>0</v>
      </c>
      <c r="S32" s="2"/>
      <c r="T32" s="7">
        <v>0</v>
      </c>
      <c r="U32" s="2"/>
      <c r="V32" s="8">
        <f t="shared" si="13"/>
        <v>0</v>
      </c>
      <c r="W32" s="2"/>
      <c r="X32" s="7">
        <f t="shared" si="14"/>
        <v>0</v>
      </c>
      <c r="Y32" s="2"/>
      <c r="Z32" s="8">
        <f t="shared" si="15"/>
        <v>0</v>
      </c>
    </row>
    <row r="33" spans="1:26" s="28" customFormat="1" outlineLevel="1" collapsed="1" x14ac:dyDescent="0.3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5098.37</v>
      </c>
      <c r="E33" s="1"/>
      <c r="F33" s="5">
        <f t="shared" ref="F33:F40" si="16">IF(D$12=0,0,D33/D$12)</f>
        <v>0</v>
      </c>
      <c r="G33" s="1"/>
      <c r="H33" s="1">
        <f>SUM(OSRRefH22_2x_0)</f>
        <v>5462.14</v>
      </c>
      <c r="I33" s="1"/>
      <c r="J33" s="5">
        <f t="shared" ref="J33:J40" si="17">IF(H$12=0,0,H33/H$12)</f>
        <v>0</v>
      </c>
      <c r="K33" s="1"/>
      <c r="L33" s="1">
        <f t="shared" ref="L33:L40" si="18">+D33-H33</f>
        <v>-363.77000000000044</v>
      </c>
      <c r="M33" s="1"/>
      <c r="N33" s="5">
        <f t="shared" ref="N33:N40" si="19">IF(H33=0,0,L33/H33)</f>
        <v>-6.6598439439487164E-2</v>
      </c>
      <c r="O33" s="14"/>
      <c r="P33" s="1">
        <f>SUM(OSRRefP22_2x_0)</f>
        <v>10196.74</v>
      </c>
      <c r="Q33" s="1"/>
      <c r="R33" s="5">
        <f t="shared" ref="R33:R40" si="20">IF(P$12=0,0,P33/P$12)</f>
        <v>0</v>
      </c>
      <c r="S33" s="1"/>
      <c r="T33" s="1">
        <f>SUM(OSRRefT22_2x_0)</f>
        <v>10924.28</v>
      </c>
      <c r="U33" s="1"/>
      <c r="V33" s="5">
        <f t="shared" ref="V33:V40" si="21">IF(T$12=0,0,T33/T$12)</f>
        <v>0</v>
      </c>
      <c r="W33" s="1"/>
      <c r="X33" s="1">
        <f t="shared" ref="X33:X40" si="22">+P33-T33</f>
        <v>-727.54000000000087</v>
      </c>
      <c r="Y33" s="1"/>
      <c r="Z33" s="5">
        <f t="shared" ref="Z33:Z40" si="23">IF(T33=0,0,X33/T33)</f>
        <v>-6.6598439439487164E-2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5098.37</v>
      </c>
      <c r="E34" s="2"/>
      <c r="F34" s="8">
        <f t="shared" si="16"/>
        <v>0</v>
      </c>
      <c r="G34" s="2"/>
      <c r="H34" s="7">
        <v>5462.14</v>
      </c>
      <c r="I34" s="2"/>
      <c r="J34" s="8">
        <f t="shared" si="17"/>
        <v>0</v>
      </c>
      <c r="K34" s="2"/>
      <c r="L34" s="7">
        <f t="shared" si="18"/>
        <v>-363.77000000000044</v>
      </c>
      <c r="M34" s="2"/>
      <c r="N34" s="8">
        <f t="shared" si="19"/>
        <v>-6.6598439439487164E-2</v>
      </c>
      <c r="O34" s="11"/>
      <c r="P34" s="7">
        <v>10196.74</v>
      </c>
      <c r="Q34" s="2"/>
      <c r="R34" s="8">
        <f t="shared" si="20"/>
        <v>0</v>
      </c>
      <c r="S34" s="2"/>
      <c r="T34" s="7">
        <v>10924.28</v>
      </c>
      <c r="U34" s="2"/>
      <c r="V34" s="8">
        <f t="shared" si="21"/>
        <v>0</v>
      </c>
      <c r="W34" s="2"/>
      <c r="X34" s="7">
        <f t="shared" si="22"/>
        <v>-727.54000000000087</v>
      </c>
      <c r="Y34" s="2"/>
      <c r="Z34" s="8">
        <f t="shared" si="23"/>
        <v>-6.6598439439487164E-2</v>
      </c>
    </row>
    <row r="35" spans="1:26" s="28" customFormat="1" outlineLevel="1" collapsed="1" x14ac:dyDescent="0.3">
      <c r="A35" s="29"/>
      <c r="B35" s="14" t="str">
        <f>CONCATENATE("     ","Insurance                                         ")</f>
        <v xml:space="preserve">     Insurance                                         </v>
      </c>
      <c r="C35" s="14"/>
      <c r="D35" s="1">
        <f>SUM(OSRRefD22_3x_0)</f>
        <v>76.569999999999993</v>
      </c>
      <c r="E35" s="1"/>
      <c r="F35" s="5">
        <f t="shared" si="16"/>
        <v>0</v>
      </c>
      <c r="G35" s="1"/>
      <c r="H35" s="1">
        <f>SUM(OSRRefH22_3x_0)</f>
        <v>56.34</v>
      </c>
      <c r="I35" s="1"/>
      <c r="J35" s="5">
        <f t="shared" si="17"/>
        <v>0</v>
      </c>
      <c r="K35" s="1"/>
      <c r="L35" s="1">
        <f t="shared" si="18"/>
        <v>20.22999999999999</v>
      </c>
      <c r="M35" s="1"/>
      <c r="N35" s="5">
        <f t="shared" si="19"/>
        <v>0.35906993255236047</v>
      </c>
      <c r="O35" s="14"/>
      <c r="P35" s="1">
        <f>SUM(OSRRefP22_3x_0)</f>
        <v>153.13999999999999</v>
      </c>
      <c r="Q35" s="1"/>
      <c r="R35" s="5">
        <f t="shared" si="20"/>
        <v>0</v>
      </c>
      <c r="S35" s="1"/>
      <c r="T35" s="1">
        <f>SUM(OSRRefT22_3x_0)</f>
        <v>112.68</v>
      </c>
      <c r="U35" s="1"/>
      <c r="V35" s="5">
        <f t="shared" si="21"/>
        <v>0</v>
      </c>
      <c r="W35" s="1"/>
      <c r="X35" s="1">
        <f t="shared" si="22"/>
        <v>40.45999999999998</v>
      </c>
      <c r="Y35" s="1"/>
      <c r="Z35" s="5">
        <f t="shared" si="23"/>
        <v>0.35906993255236047</v>
      </c>
    </row>
    <row r="36" spans="1:26" s="24" customFormat="1" hidden="1" outlineLevel="2" x14ac:dyDescent="0.3">
      <c r="A36" s="27"/>
      <c r="B36" s="11" t="str">
        <f>CONCATENATE("          ", "6314", " - ", "LIABILITY INSURANCE")</f>
        <v xml:space="preserve">          6314 - LIABILITY INSURANCE</v>
      </c>
      <c r="C36" s="11"/>
      <c r="D36" s="7">
        <v>76.569999999999993</v>
      </c>
      <c r="E36" s="2"/>
      <c r="F36" s="8">
        <f t="shared" si="16"/>
        <v>0</v>
      </c>
      <c r="G36" s="2"/>
      <c r="H36" s="7">
        <v>56.34</v>
      </c>
      <c r="I36" s="2"/>
      <c r="J36" s="8">
        <f t="shared" si="17"/>
        <v>0</v>
      </c>
      <c r="K36" s="2"/>
      <c r="L36" s="7">
        <f t="shared" si="18"/>
        <v>20.22999999999999</v>
      </c>
      <c r="M36" s="2"/>
      <c r="N36" s="8">
        <f t="shared" si="19"/>
        <v>0.35906993255236047</v>
      </c>
      <c r="O36" s="11"/>
      <c r="P36" s="7">
        <v>153.13999999999999</v>
      </c>
      <c r="Q36" s="2"/>
      <c r="R36" s="8">
        <f t="shared" si="20"/>
        <v>0</v>
      </c>
      <c r="S36" s="2"/>
      <c r="T36" s="7">
        <v>112.68</v>
      </c>
      <c r="U36" s="2"/>
      <c r="V36" s="8">
        <f t="shared" si="21"/>
        <v>0</v>
      </c>
      <c r="W36" s="2"/>
      <c r="X36" s="7">
        <f t="shared" si="22"/>
        <v>40.45999999999998</v>
      </c>
      <c r="Y36" s="2"/>
      <c r="Z36" s="8">
        <f t="shared" si="23"/>
        <v>0.35906993255236047</v>
      </c>
    </row>
    <row r="37" spans="1:26" s="28" customFormat="1" outlineLevel="1" collapsed="1" x14ac:dyDescent="0.3">
      <c r="A37" s="29"/>
      <c r="B37" s="14" t="str">
        <f>CONCATENATE("     ","Repair and Maintenance                            ")</f>
        <v xml:space="preserve">     Repair and Maintenance                            </v>
      </c>
      <c r="C37" s="14"/>
      <c r="D37" s="1">
        <f>SUM(OSRRefD22_4x_0)</f>
        <v>8673.52</v>
      </c>
      <c r="E37" s="1"/>
      <c r="F37" s="5">
        <f t="shared" si="16"/>
        <v>0</v>
      </c>
      <c r="G37" s="1"/>
      <c r="H37" s="1">
        <f>SUM(OSRRefH22_4x_0)</f>
        <v>11992</v>
      </c>
      <c r="I37" s="1"/>
      <c r="J37" s="5">
        <f t="shared" si="17"/>
        <v>0</v>
      </c>
      <c r="K37" s="1"/>
      <c r="L37" s="1">
        <f t="shared" si="18"/>
        <v>-3318.4799999999996</v>
      </c>
      <c r="M37" s="1"/>
      <c r="N37" s="5">
        <f t="shared" si="19"/>
        <v>-0.27672448298865909</v>
      </c>
      <c r="O37" s="14"/>
      <c r="P37" s="1">
        <f>SUM(OSRRefP22_4x_0)</f>
        <v>18238.52</v>
      </c>
      <c r="Q37" s="1"/>
      <c r="R37" s="5">
        <f t="shared" si="20"/>
        <v>0</v>
      </c>
      <c r="S37" s="1"/>
      <c r="T37" s="1">
        <f>SUM(OSRRefT22_4x_0)</f>
        <v>23984</v>
      </c>
      <c r="U37" s="1"/>
      <c r="V37" s="5">
        <f t="shared" si="21"/>
        <v>0</v>
      </c>
      <c r="W37" s="1"/>
      <c r="X37" s="1">
        <f t="shared" si="22"/>
        <v>-5745.48</v>
      </c>
      <c r="Y37" s="1"/>
      <c r="Z37" s="5">
        <f t="shared" si="23"/>
        <v>-0.2395547031354236</v>
      </c>
    </row>
    <row r="38" spans="1:26" s="24" customFormat="1" hidden="1" outlineLevel="2" x14ac:dyDescent="0.3">
      <c r="A38" s="27"/>
      <c r="B38" s="11" t="str">
        <f>CONCATENATE("          ", "6371", " - ", "COMPUTER SOFTWARE MAINTENANCE")</f>
        <v xml:space="preserve">          6371 - COMPUTER SOFTWARE MAINTENANCE</v>
      </c>
      <c r="C38" s="11"/>
      <c r="D38" s="7">
        <v>1560</v>
      </c>
      <c r="E38" s="2"/>
      <c r="F38" s="8">
        <f t="shared" si="16"/>
        <v>0</v>
      </c>
      <c r="G38" s="2"/>
      <c r="H38" s="7"/>
      <c r="I38" s="2"/>
      <c r="J38" s="8">
        <f t="shared" si="17"/>
        <v>0</v>
      </c>
      <c r="K38" s="2"/>
      <c r="L38" s="7">
        <f t="shared" si="18"/>
        <v>1560</v>
      </c>
      <c r="M38" s="2"/>
      <c r="N38" s="8">
        <f t="shared" si="19"/>
        <v>0</v>
      </c>
      <c r="O38" s="11"/>
      <c r="P38" s="7">
        <v>1659</v>
      </c>
      <c r="Q38" s="2"/>
      <c r="R38" s="8">
        <f t="shared" si="20"/>
        <v>0</v>
      </c>
      <c r="S38" s="2"/>
      <c r="T38" s="7"/>
      <c r="U38" s="2"/>
      <c r="V38" s="8">
        <f t="shared" si="21"/>
        <v>0</v>
      </c>
      <c r="W38" s="2"/>
      <c r="X38" s="7">
        <f t="shared" si="22"/>
        <v>1659</v>
      </c>
      <c r="Y38" s="2"/>
      <c r="Z38" s="8">
        <f t="shared" si="23"/>
        <v>0</v>
      </c>
    </row>
    <row r="39" spans="1:26" s="24" customFormat="1" hidden="1" outlineLevel="2" x14ac:dyDescent="0.3">
      <c r="A39" s="27"/>
      <c r="B39" s="11" t="str">
        <f>CONCATENATE("          ", "6373", " - ", "MAINTENANCE CONTRACTS")</f>
        <v xml:space="preserve">          6373 - MAINTENANCE CONTRACTS</v>
      </c>
      <c r="C39" s="11"/>
      <c r="D39" s="7">
        <v>7066</v>
      </c>
      <c r="E39" s="2"/>
      <c r="F39" s="8">
        <f t="shared" si="16"/>
        <v>0</v>
      </c>
      <c r="G39" s="2"/>
      <c r="H39" s="7">
        <v>11992</v>
      </c>
      <c r="I39" s="2"/>
      <c r="J39" s="8">
        <f t="shared" si="17"/>
        <v>0</v>
      </c>
      <c r="K39" s="2"/>
      <c r="L39" s="7">
        <f t="shared" si="18"/>
        <v>-4926</v>
      </c>
      <c r="M39" s="2"/>
      <c r="N39" s="8">
        <f t="shared" si="19"/>
        <v>-0.4107738492328219</v>
      </c>
      <c r="O39" s="11"/>
      <c r="P39" s="7">
        <v>16532</v>
      </c>
      <c r="Q39" s="2"/>
      <c r="R39" s="8">
        <f t="shared" si="20"/>
        <v>0</v>
      </c>
      <c r="S39" s="2"/>
      <c r="T39" s="7">
        <v>23984</v>
      </c>
      <c r="U39" s="2"/>
      <c r="V39" s="8">
        <f t="shared" si="21"/>
        <v>0</v>
      </c>
      <c r="W39" s="2"/>
      <c r="X39" s="7">
        <f t="shared" si="22"/>
        <v>-7452</v>
      </c>
      <c r="Y39" s="2"/>
      <c r="Z39" s="8">
        <f t="shared" si="23"/>
        <v>-0.31070713809206135</v>
      </c>
    </row>
    <row r="40" spans="1:26" s="24" customFormat="1" hidden="1" outlineLevel="2" x14ac:dyDescent="0.3">
      <c r="A40" s="27"/>
      <c r="B40" s="11" t="str">
        <f>CONCATENATE("          ", "6375", " - ", "OUTSIDE REPAIRS &amp; MAINTENANCE")</f>
        <v xml:space="preserve">          6375 - OUTSIDE REPAIRS &amp; MAINTENANCE</v>
      </c>
      <c r="C40" s="11"/>
      <c r="D40" s="7">
        <v>47.52</v>
      </c>
      <c r="E40" s="2"/>
      <c r="F40" s="8">
        <f t="shared" si="16"/>
        <v>0</v>
      </c>
      <c r="G40" s="2"/>
      <c r="H40" s="7"/>
      <c r="I40" s="2"/>
      <c r="J40" s="8">
        <f t="shared" si="17"/>
        <v>0</v>
      </c>
      <c r="K40" s="2"/>
      <c r="L40" s="7">
        <f t="shared" si="18"/>
        <v>47.52</v>
      </c>
      <c r="M40" s="2"/>
      <c r="N40" s="8">
        <f t="shared" si="19"/>
        <v>0</v>
      </c>
      <c r="O40" s="11"/>
      <c r="P40" s="7">
        <v>47.52</v>
      </c>
      <c r="Q40" s="2"/>
      <c r="R40" s="8">
        <f t="shared" si="20"/>
        <v>0</v>
      </c>
      <c r="S40" s="2"/>
      <c r="T40" s="7"/>
      <c r="U40" s="2"/>
      <c r="V40" s="8">
        <f t="shared" si="21"/>
        <v>0</v>
      </c>
      <c r="W40" s="2"/>
      <c r="X40" s="7">
        <f t="shared" si="22"/>
        <v>47.52</v>
      </c>
      <c r="Y40" s="2"/>
      <c r="Z40" s="8">
        <f t="shared" si="23"/>
        <v>0</v>
      </c>
    </row>
    <row r="41" spans="1:26" s="28" customFormat="1" outlineLevel="1" collapsed="1" x14ac:dyDescent="0.3">
      <c r="A41" s="29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0</v>
      </c>
      <c r="E41" s="1"/>
      <c r="F41" s="5">
        <f t="shared" ref="F41:F45" si="24">IF(D$12=0,0,D41/D$12)</f>
        <v>0</v>
      </c>
      <c r="G41" s="1"/>
      <c r="H41" s="1">
        <f>SUM(OSRRefH22_5x_0)</f>
        <v>11.38</v>
      </c>
      <c r="I41" s="1"/>
      <c r="J41" s="5">
        <f t="shared" ref="J41:J45" si="25">IF(H$12=0,0,H41/H$12)</f>
        <v>0</v>
      </c>
      <c r="K41" s="1"/>
      <c r="L41" s="1">
        <f t="shared" ref="L41:L45" si="26">+D41-H41</f>
        <v>-11.38</v>
      </c>
      <c r="M41" s="1"/>
      <c r="N41" s="5">
        <f t="shared" ref="N41:N45" si="27">IF(H41=0,0,L41/H41)</f>
        <v>-1</v>
      </c>
      <c r="O41" s="14"/>
      <c r="P41" s="1">
        <f>SUM(OSRRefP22_5x_0)</f>
        <v>336.92</v>
      </c>
      <c r="Q41" s="1"/>
      <c r="R41" s="5">
        <f t="shared" ref="R41:R45" si="28">IF(P$12=0,0,P41/P$12)</f>
        <v>0</v>
      </c>
      <c r="S41" s="1"/>
      <c r="T41" s="1">
        <f>SUM(OSRRefT22_5x_0)</f>
        <v>-44.08</v>
      </c>
      <c r="U41" s="1"/>
      <c r="V41" s="5">
        <f t="shared" ref="V41:V45" si="29">IF(T$12=0,0,T41/T$12)</f>
        <v>0</v>
      </c>
      <c r="W41" s="1"/>
      <c r="X41" s="1">
        <f t="shared" ref="X41:X45" si="30">+P41-T41</f>
        <v>381</v>
      </c>
      <c r="Y41" s="1"/>
      <c r="Z41" s="5">
        <f t="shared" ref="Z41:Z45" si="31">IF(T41=0,0,X41/T41)</f>
        <v>-8.6433756805807622</v>
      </c>
    </row>
    <row r="42" spans="1:26" s="24" customFormat="1" hidden="1" outlineLevel="2" x14ac:dyDescent="0.3">
      <c r="A42" s="27"/>
      <c r="B42" s="11" t="str">
        <f>CONCATENATE("          ", "6241", " - ", "OFFICE EXPENSE")</f>
        <v xml:space="preserve">          6241 - OFFICE EXPENSE</v>
      </c>
      <c r="C42" s="11"/>
      <c r="D42" s="7"/>
      <c r="E42" s="2"/>
      <c r="F42" s="8">
        <f t="shared" si="24"/>
        <v>0</v>
      </c>
      <c r="G42" s="2"/>
      <c r="H42" s="7">
        <v>11.38</v>
      </c>
      <c r="I42" s="2"/>
      <c r="J42" s="8">
        <f t="shared" si="25"/>
        <v>0</v>
      </c>
      <c r="K42" s="2"/>
      <c r="L42" s="7">
        <f t="shared" si="26"/>
        <v>-11.38</v>
      </c>
      <c r="M42" s="2"/>
      <c r="N42" s="8">
        <f t="shared" si="27"/>
        <v>-1</v>
      </c>
      <c r="O42" s="11"/>
      <c r="P42" s="7">
        <v>336.92</v>
      </c>
      <c r="Q42" s="2"/>
      <c r="R42" s="8">
        <f t="shared" si="28"/>
        <v>0</v>
      </c>
      <c r="S42" s="2"/>
      <c r="T42" s="7">
        <v>-44.08</v>
      </c>
      <c r="U42" s="2"/>
      <c r="V42" s="8">
        <f t="shared" si="29"/>
        <v>0</v>
      </c>
      <c r="W42" s="2"/>
      <c r="X42" s="7">
        <f t="shared" si="30"/>
        <v>381</v>
      </c>
      <c r="Y42" s="2"/>
      <c r="Z42" s="8">
        <f t="shared" si="31"/>
        <v>-8.6433756805807622</v>
      </c>
    </row>
    <row r="43" spans="1:26" s="28" customFormat="1" outlineLevel="1" collapsed="1" x14ac:dyDescent="0.3">
      <c r="A43" s="29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SUM(OSRRefD22_6x_0)</f>
        <v>803.53</v>
      </c>
      <c r="E43" s="1"/>
      <c r="F43" s="5">
        <f t="shared" si="24"/>
        <v>0</v>
      </c>
      <c r="G43" s="1"/>
      <c r="H43" s="1">
        <f>SUM(OSRRefH22_6x_0)</f>
        <v>1007.05</v>
      </c>
      <c r="I43" s="1"/>
      <c r="J43" s="5">
        <f t="shared" si="25"/>
        <v>0</v>
      </c>
      <c r="K43" s="1"/>
      <c r="L43" s="1">
        <f t="shared" si="26"/>
        <v>-203.51999999999998</v>
      </c>
      <c r="M43" s="1"/>
      <c r="N43" s="5">
        <f t="shared" si="27"/>
        <v>-0.20209522863810137</v>
      </c>
      <c r="O43" s="14"/>
      <c r="P43" s="1">
        <f>SUM(OSRRefP22_6x_0)</f>
        <v>1717.21</v>
      </c>
      <c r="Q43" s="1"/>
      <c r="R43" s="5">
        <f t="shared" si="28"/>
        <v>0</v>
      </c>
      <c r="S43" s="1"/>
      <c r="T43" s="1">
        <f>SUM(OSRRefT22_6x_0)</f>
        <v>1863.82</v>
      </c>
      <c r="U43" s="1"/>
      <c r="V43" s="5">
        <f t="shared" si="29"/>
        <v>0</v>
      </c>
      <c r="W43" s="1"/>
      <c r="X43" s="1">
        <f t="shared" si="30"/>
        <v>-146.6099999999999</v>
      </c>
      <c r="Y43" s="1"/>
      <c r="Z43" s="5">
        <f t="shared" si="31"/>
        <v>-7.8661029498556675E-2</v>
      </c>
    </row>
    <row r="44" spans="1:26" s="24" customFormat="1" hidden="1" outlineLevel="2" x14ac:dyDescent="0.3">
      <c r="A44" s="27"/>
      <c r="B44" s="11" t="str">
        <f>CONCATENATE("          ", "6303", " - ", "DATA PHONE LINES")</f>
        <v xml:space="preserve">          6303 - DATA PHONE LINES</v>
      </c>
      <c r="C44" s="11"/>
      <c r="D44" s="7">
        <v>161.97999999999999</v>
      </c>
      <c r="E44" s="2"/>
      <c r="F44" s="8">
        <f t="shared" si="24"/>
        <v>0</v>
      </c>
      <c r="G44" s="2"/>
      <c r="H44" s="7">
        <v>78.989999999999995</v>
      </c>
      <c r="I44" s="2"/>
      <c r="J44" s="8">
        <f t="shared" si="25"/>
        <v>0</v>
      </c>
      <c r="K44" s="2"/>
      <c r="L44" s="7">
        <f t="shared" si="26"/>
        <v>82.99</v>
      </c>
      <c r="M44" s="2"/>
      <c r="N44" s="8">
        <f t="shared" si="27"/>
        <v>1.0506393214330929</v>
      </c>
      <c r="O44" s="11"/>
      <c r="P44" s="7">
        <v>323.95999999999998</v>
      </c>
      <c r="Q44" s="2"/>
      <c r="R44" s="8">
        <f t="shared" si="28"/>
        <v>0</v>
      </c>
      <c r="S44" s="2"/>
      <c r="T44" s="7">
        <v>157.97999999999999</v>
      </c>
      <c r="U44" s="2"/>
      <c r="V44" s="8">
        <f t="shared" si="29"/>
        <v>0</v>
      </c>
      <c r="W44" s="2"/>
      <c r="X44" s="7">
        <f t="shared" si="30"/>
        <v>165.98</v>
      </c>
      <c r="Y44" s="2"/>
      <c r="Z44" s="8">
        <f t="shared" si="31"/>
        <v>1.0506393214330929</v>
      </c>
    </row>
    <row r="45" spans="1:26" s="24" customFormat="1" hidden="1" outlineLevel="2" x14ac:dyDescent="0.3">
      <c r="A45" s="27"/>
      <c r="B45" s="11" t="str">
        <f>CONCATENATE("          ", "6309", " - ", "TELEPHONE")</f>
        <v xml:space="preserve">          6309 - TELEPHONE</v>
      </c>
      <c r="C45" s="11"/>
      <c r="D45" s="7">
        <v>641.54999999999995</v>
      </c>
      <c r="E45" s="2"/>
      <c r="F45" s="8">
        <f t="shared" si="24"/>
        <v>0</v>
      </c>
      <c r="G45" s="2"/>
      <c r="H45" s="7">
        <v>928.06</v>
      </c>
      <c r="I45" s="2"/>
      <c r="J45" s="8">
        <f t="shared" si="25"/>
        <v>0</v>
      </c>
      <c r="K45" s="2"/>
      <c r="L45" s="7">
        <f t="shared" si="26"/>
        <v>-286.51</v>
      </c>
      <c r="M45" s="2"/>
      <c r="N45" s="8">
        <f t="shared" si="27"/>
        <v>-0.30871926384069998</v>
      </c>
      <c r="O45" s="11"/>
      <c r="P45" s="7">
        <v>1393.25</v>
      </c>
      <c r="Q45" s="2"/>
      <c r="R45" s="8">
        <f t="shared" si="28"/>
        <v>0</v>
      </c>
      <c r="S45" s="2"/>
      <c r="T45" s="7">
        <v>1705.84</v>
      </c>
      <c r="U45" s="2"/>
      <c r="V45" s="8">
        <f t="shared" si="29"/>
        <v>0</v>
      </c>
      <c r="W45" s="2"/>
      <c r="X45" s="7">
        <f t="shared" si="30"/>
        <v>-312.58999999999992</v>
      </c>
      <c r="Y45" s="2"/>
      <c r="Z45" s="8">
        <f t="shared" si="31"/>
        <v>-0.18324696337288371</v>
      </c>
    </row>
    <row r="46" spans="1:26" s="61" customFormat="1" x14ac:dyDescent="0.3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3">
      <c r="A47" s="10"/>
      <c r="B47" s="26" t="s">
        <v>292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3">
      <c r="A48" s="9"/>
      <c r="B48" s="10"/>
      <c r="C48" s="10"/>
      <c r="D48" s="3"/>
      <c r="E48" s="3"/>
      <c r="F48" s="6"/>
      <c r="G48" s="3"/>
      <c r="H48" s="3"/>
      <c r="I48" s="3"/>
      <c r="J48" s="6"/>
      <c r="K48" s="3"/>
      <c r="L48" s="3"/>
      <c r="M48" s="3"/>
      <c r="N48" s="6"/>
      <c r="O48" s="10"/>
      <c r="P48" s="3"/>
      <c r="Q48" s="3"/>
      <c r="R48" s="6"/>
      <c r="S48" s="3"/>
      <c r="T48" s="3"/>
      <c r="U48" s="3"/>
      <c r="V48" s="6"/>
      <c r="W48" s="3"/>
      <c r="X48" s="3"/>
      <c r="Y48" s="3"/>
      <c r="Z48" s="6"/>
    </row>
    <row r="49" spans="1:26" s="23" customFormat="1" x14ac:dyDescent="0.3">
      <c r="A49" s="10"/>
      <c r="B49" s="25" t="s">
        <v>276</v>
      </c>
      <c r="C49" s="25"/>
      <c r="D49" s="20">
        <f>+D16-D18+D47</f>
        <v>-43235.12</v>
      </c>
      <c r="E49" s="13"/>
      <c r="F49" s="22">
        <f>IF(D$12=0,0,D49/D$12)</f>
        <v>0</v>
      </c>
      <c r="G49" s="13"/>
      <c r="H49" s="20">
        <f>+H16-H18+H47</f>
        <v>-49895.869999999988</v>
      </c>
      <c r="I49" s="13"/>
      <c r="J49" s="22">
        <f>IF(H$12=0,0,H49/H$12)</f>
        <v>0</v>
      </c>
      <c r="K49" s="15"/>
      <c r="L49" s="20">
        <f>+D49-H49</f>
        <v>6660.7499999999854</v>
      </c>
      <c r="M49" s="15"/>
      <c r="N49" s="22">
        <f>IF(H49=0,0,L49/H49)</f>
        <v>-0.13349301254793206</v>
      </c>
      <c r="O49" s="26"/>
      <c r="P49" s="20">
        <f>+P16-P18+P47</f>
        <v>-91089.110000000015</v>
      </c>
      <c r="Q49" s="13"/>
      <c r="R49" s="22">
        <f>IF(P$12=0,0,P49/P$12)</f>
        <v>0</v>
      </c>
      <c r="S49" s="13"/>
      <c r="T49" s="20">
        <f>+T16-T18+T47</f>
        <v>-106804.62999999998</v>
      </c>
      <c r="U49" s="13"/>
      <c r="V49" s="22">
        <f>IF(T$12=0,0,T49/T$12)</f>
        <v>0</v>
      </c>
      <c r="W49" s="15"/>
      <c r="X49" s="20">
        <f>+P49-T49</f>
        <v>15715.51999999996</v>
      </c>
      <c r="Y49" s="15"/>
      <c r="Z49" s="22">
        <f>IF(T49=0,0,X49/T49)</f>
        <v>-0.1471426847319256</v>
      </c>
    </row>
    <row r="50" spans="1:26" x14ac:dyDescent="0.3">
      <c r="A50" s="9"/>
      <c r="B50" s="10"/>
      <c r="C50" s="9"/>
      <c r="D50" s="3"/>
      <c r="E50" s="3"/>
      <c r="F50" s="6"/>
      <c r="G50" s="3"/>
      <c r="H50" s="3"/>
      <c r="I50" s="3"/>
      <c r="J50" s="6"/>
      <c r="K50" s="3"/>
      <c r="L50" s="3"/>
      <c r="M50" s="3"/>
      <c r="N50" s="6"/>
      <c r="P50" s="3"/>
      <c r="Q50" s="3"/>
      <c r="R50" s="6"/>
      <c r="S50" s="3"/>
      <c r="T50" s="3"/>
      <c r="U50" s="3"/>
      <c r="V50" s="6"/>
      <c r="W50" s="3"/>
      <c r="X50" s="3"/>
      <c r="Y50" s="3"/>
      <c r="Z50" s="6"/>
    </row>
    <row r="51" spans="1:26" s="23" customFormat="1" x14ac:dyDescent="0.3">
      <c r="A51" s="51"/>
      <c r="B51" s="10" t="s">
        <v>127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3">
      <c r="A52" s="9"/>
      <c r="B52" s="10"/>
      <c r="C52" s="10"/>
      <c r="D52" s="3"/>
      <c r="E52" s="3"/>
      <c r="F52" s="6"/>
      <c r="G52" s="3"/>
      <c r="H52" s="3"/>
      <c r="I52" s="3"/>
      <c r="J52" s="6"/>
      <c r="K52" s="3"/>
      <c r="L52" s="3"/>
      <c r="M52" s="3"/>
      <c r="N52" s="6"/>
      <c r="O52" s="10"/>
      <c r="P52" s="3"/>
      <c r="Q52" s="3"/>
      <c r="R52" s="6"/>
      <c r="S52" s="3"/>
      <c r="T52" s="3"/>
      <c r="U52" s="3"/>
      <c r="V52" s="6"/>
      <c r="W52" s="3"/>
      <c r="X52" s="3"/>
      <c r="Y52" s="3"/>
      <c r="Z52" s="6"/>
    </row>
    <row r="53" spans="1:26" s="23" customFormat="1" ht="15" thickBot="1" x14ac:dyDescent="0.35">
      <c r="A53" s="10"/>
      <c r="B53" s="25" t="s">
        <v>125</v>
      </c>
      <c r="C53" s="25"/>
      <c r="D53" s="33">
        <f>+D49-D51</f>
        <v>-43235.12</v>
      </c>
      <c r="E53" s="13"/>
      <c r="F53" s="36">
        <f>IF(D$12=0,0,D53/D$12)</f>
        <v>0</v>
      </c>
      <c r="G53" s="13"/>
      <c r="H53" s="33">
        <f>+H49-H51</f>
        <v>-49895.869999999988</v>
      </c>
      <c r="I53" s="13"/>
      <c r="J53" s="36">
        <f>IF(H$12=0,0,H53/H$12)</f>
        <v>0</v>
      </c>
      <c r="K53" s="15"/>
      <c r="L53" s="33">
        <f>D53-H53</f>
        <v>6660.7499999999854</v>
      </c>
      <c r="M53" s="15"/>
      <c r="N53" s="36">
        <f>IF(H53=0,0,L53/H53)</f>
        <v>-0.13349301254793206</v>
      </c>
      <c r="O53" s="26"/>
      <c r="P53" s="33">
        <f>+P49-P51</f>
        <v>-91089.110000000015</v>
      </c>
      <c r="Q53" s="13"/>
      <c r="R53" s="36">
        <f>IF(P$12=0,0,P53/P$12)</f>
        <v>0</v>
      </c>
      <c r="S53" s="13"/>
      <c r="T53" s="33">
        <f>+T49-T51</f>
        <v>-106804.62999999998</v>
      </c>
      <c r="U53" s="13"/>
      <c r="V53" s="36">
        <f>IF(T$12=0,0,T53/T$12)</f>
        <v>0</v>
      </c>
      <c r="W53" s="15"/>
      <c r="X53" s="33">
        <f>P53-T53</f>
        <v>15715.51999999996</v>
      </c>
      <c r="Y53" s="15"/>
      <c r="Z53" s="36">
        <f>IF(T53=0,0,X53/T53)</f>
        <v>-0.1471426847319256</v>
      </c>
    </row>
    <row r="54" spans="1:26" ht="15" thickTop="1" x14ac:dyDescent="0.3">
      <c r="A54" s="9"/>
      <c r="B54" s="9"/>
      <c r="C54" s="9"/>
      <c r="D54" s="3"/>
      <c r="E54" s="3"/>
      <c r="F54" s="6"/>
      <c r="G54" s="3"/>
      <c r="H54" s="3"/>
      <c r="I54" s="3"/>
      <c r="J54" s="6"/>
      <c r="K54" s="3"/>
      <c r="L54" s="3"/>
      <c r="M54" s="3"/>
      <c r="N54" s="6"/>
      <c r="P54" s="3"/>
      <c r="Q54" s="3"/>
      <c r="R54" s="6"/>
      <c r="S54" s="3"/>
      <c r="T54" s="3"/>
      <c r="U54" s="3"/>
      <c r="V54" s="6"/>
      <c r="W54" s="3"/>
      <c r="X54" s="3"/>
      <c r="Y54" s="3"/>
      <c r="Z54" s="6"/>
    </row>
    <row r="55" spans="1:26" x14ac:dyDescent="0.3">
      <c r="A55" s="9"/>
      <c r="B55" s="9"/>
      <c r="C55" s="9"/>
      <c r="D55" s="3"/>
      <c r="E55" s="3"/>
      <c r="F55" s="6"/>
      <c r="G55" s="3"/>
      <c r="H55" s="3"/>
      <c r="I55" s="3"/>
      <c r="J55" s="6"/>
      <c r="K55" s="3"/>
      <c r="L55" s="3"/>
      <c r="M55" s="3"/>
      <c r="N55" s="6"/>
      <c r="P55" s="3"/>
      <c r="Q55" s="3"/>
      <c r="R55" s="6"/>
      <c r="S55" s="3"/>
      <c r="T55" s="3"/>
      <c r="U55" s="3"/>
      <c r="V55" s="6"/>
      <c r="W55" s="3"/>
      <c r="X55" s="3"/>
      <c r="Y55" s="3"/>
      <c r="Z55" s="6"/>
    </row>
    <row r="56" spans="1:26" s="23" customFormat="1" ht="15" thickBot="1" x14ac:dyDescent="0.35">
      <c r="A56" s="10"/>
      <c r="B56" s="25" t="s">
        <v>293</v>
      </c>
      <c r="C56" s="25"/>
      <c r="D56" s="30">
        <f>SUM(D53:D55)</f>
        <v>-43235.12</v>
      </c>
      <c r="E56" s="13"/>
      <c r="F56" s="31">
        <f>IF(D$12=0,0,D56/D$12)</f>
        <v>0</v>
      </c>
      <c r="G56" s="13"/>
      <c r="H56" s="30">
        <f>SUM(H53:H55)</f>
        <v>-49895.869999999988</v>
      </c>
      <c r="I56" s="13"/>
      <c r="J56" s="31">
        <f>IF(H$12=0,0,H56/H$12)</f>
        <v>0</v>
      </c>
      <c r="K56" s="15"/>
      <c r="L56" s="30">
        <f>+D56-H56</f>
        <v>6660.7499999999854</v>
      </c>
      <c r="M56" s="15"/>
      <c r="N56" s="31">
        <f>IF(H56=0,0,L56/H56)</f>
        <v>-0.13349301254793206</v>
      </c>
      <c r="O56" s="26"/>
      <c r="P56" s="30">
        <f>SUM(P53:P55)</f>
        <v>-91089.110000000015</v>
      </c>
      <c r="Q56" s="13"/>
      <c r="R56" s="31">
        <f>IF(P$12=0,0,P56/P$12)</f>
        <v>0</v>
      </c>
      <c r="S56" s="13"/>
      <c r="T56" s="30">
        <f>SUM(T53:T55)</f>
        <v>-106804.62999999998</v>
      </c>
      <c r="U56" s="13"/>
      <c r="V56" s="31">
        <f>IF(T$12=0,0,T56/T$12)</f>
        <v>0</v>
      </c>
      <c r="W56" s="15"/>
      <c r="X56" s="30">
        <f>+P56-T56</f>
        <v>15715.51999999996</v>
      </c>
      <c r="Y56" s="15"/>
      <c r="Z56" s="31">
        <f>IF(T56=0,0,X56/T56)</f>
        <v>-0.1471426847319256</v>
      </c>
    </row>
    <row r="57" spans="1:26" ht="15" thickTop="1" x14ac:dyDescent="0.3">
      <c r="A57" s="9"/>
      <c r="C57" s="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3">
      <c r="A58" s="9"/>
      <c r="B58" s="59">
        <v>44470.840542939812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3">
      <c r="A59" s="9"/>
      <c r="B59" s="58" t="s">
        <v>56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3">
      <c r="A60" s="9"/>
      <c r="B60" s="52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3"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","205", " - ", "Maintenance")</f>
        <v>Department 205 - Maintenance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7758.59</v>
      </c>
      <c r="E18" s="21"/>
      <c r="F18" s="32">
        <f t="shared" ref="F18:F27" si="0">IF(D$12=0,0,D18/D$12)</f>
        <v>0</v>
      </c>
      <c r="G18" s="21"/>
      <c r="H18" s="21">
        <f>SUM(OSRRefH22x_0)</f>
        <v>7276.8300000000008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481.75999999999931</v>
      </c>
      <c r="M18" s="4"/>
      <c r="N18" s="32">
        <f t="shared" ref="N18:N27" si="3">IF(H18=0,0,L18/H18)</f>
        <v>6.6204652300520861E-2</v>
      </c>
      <c r="O18" s="10"/>
      <c r="P18" s="21">
        <f>SUM(OSRRefP22x_0)</f>
        <v>15942.27</v>
      </c>
      <c r="Q18" s="21"/>
      <c r="R18" s="32">
        <f t="shared" ref="R18:R27" si="4">IF(P$12=0,0,P18/P$12)</f>
        <v>0</v>
      </c>
      <c r="S18" s="21"/>
      <c r="T18" s="21">
        <f>SUM(OSRRefT22x_0)</f>
        <v>16656.09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-713.81999999999971</v>
      </c>
      <c r="Y18" s="4"/>
      <c r="Z18" s="32">
        <f t="shared" ref="Z18:Z27" si="7">IF(T18=0,0,X18/T18)</f>
        <v>-4.2856396669326335E-2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2128.25</v>
      </c>
      <c r="E19" s="1"/>
      <c r="F19" s="5">
        <f t="shared" si="0"/>
        <v>0</v>
      </c>
      <c r="G19" s="1"/>
      <c r="H19" s="1">
        <f>SUM(OSRRefH22_0x_0)</f>
        <v>2346.52</v>
      </c>
      <c r="I19" s="1"/>
      <c r="J19" s="5">
        <f t="shared" si="1"/>
        <v>0</v>
      </c>
      <c r="K19" s="1"/>
      <c r="L19" s="1">
        <f t="shared" si="2"/>
        <v>-218.26999999999998</v>
      </c>
      <c r="M19" s="1"/>
      <c r="N19" s="5">
        <f t="shared" si="3"/>
        <v>-9.3018597753268664E-2</v>
      </c>
      <c r="O19" s="14"/>
      <c r="P19" s="1">
        <f>SUM(OSRRefP22_0x_0)</f>
        <v>4298.82</v>
      </c>
      <c r="Q19" s="1"/>
      <c r="R19" s="5">
        <f t="shared" si="4"/>
        <v>0</v>
      </c>
      <c r="S19" s="1"/>
      <c r="T19" s="1">
        <f>SUM(OSRRefT22_0x_0)</f>
        <v>4903.2799999999988</v>
      </c>
      <c r="U19" s="1"/>
      <c r="V19" s="5">
        <f t="shared" si="5"/>
        <v>0</v>
      </c>
      <c r="W19" s="1"/>
      <c r="X19" s="1">
        <f t="shared" si="6"/>
        <v>-604.45999999999913</v>
      </c>
      <c r="Y19" s="1"/>
      <c r="Z19" s="5">
        <f t="shared" si="7"/>
        <v>-0.12327666378424224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349.41</v>
      </c>
      <c r="E20" s="2"/>
      <c r="F20" s="8">
        <f t="shared" si="0"/>
        <v>0</v>
      </c>
      <c r="G20" s="2"/>
      <c r="H20" s="7">
        <v>315.83999999999997</v>
      </c>
      <c r="I20" s="2"/>
      <c r="J20" s="8">
        <f t="shared" si="1"/>
        <v>0</v>
      </c>
      <c r="K20" s="2"/>
      <c r="L20" s="7">
        <f t="shared" si="2"/>
        <v>33.57000000000005</v>
      </c>
      <c r="M20" s="2"/>
      <c r="N20" s="8">
        <f t="shared" si="3"/>
        <v>0.10628799392097281</v>
      </c>
      <c r="O20" s="11"/>
      <c r="P20" s="7">
        <v>668.33</v>
      </c>
      <c r="Q20" s="2"/>
      <c r="R20" s="8">
        <f t="shared" si="4"/>
        <v>0</v>
      </c>
      <c r="S20" s="2"/>
      <c r="T20" s="7">
        <v>634.4</v>
      </c>
      <c r="U20" s="2"/>
      <c r="V20" s="8">
        <f t="shared" si="5"/>
        <v>0</v>
      </c>
      <c r="W20" s="2"/>
      <c r="X20" s="7">
        <f t="shared" si="6"/>
        <v>33.930000000000064</v>
      </c>
      <c r="Y20" s="2"/>
      <c r="Z20" s="8">
        <f t="shared" si="7"/>
        <v>5.3483606557377154E-2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246.05</v>
      </c>
      <c r="E21" s="2"/>
      <c r="F21" s="8">
        <f t="shared" si="0"/>
        <v>0</v>
      </c>
      <c r="G21" s="2"/>
      <c r="H21" s="7">
        <v>286.13</v>
      </c>
      <c r="I21" s="2"/>
      <c r="J21" s="8">
        <f t="shared" si="1"/>
        <v>0</v>
      </c>
      <c r="K21" s="2"/>
      <c r="L21" s="7">
        <f t="shared" si="2"/>
        <v>-40.079999999999984</v>
      </c>
      <c r="M21" s="2"/>
      <c r="N21" s="8">
        <f t="shared" si="3"/>
        <v>-0.14007618914479428</v>
      </c>
      <c r="O21" s="11"/>
      <c r="P21" s="7">
        <v>476.59</v>
      </c>
      <c r="Q21" s="2"/>
      <c r="R21" s="8">
        <f t="shared" si="4"/>
        <v>0</v>
      </c>
      <c r="S21" s="2"/>
      <c r="T21" s="7">
        <v>574.72</v>
      </c>
      <c r="U21" s="2"/>
      <c r="V21" s="8">
        <f t="shared" si="5"/>
        <v>0</v>
      </c>
      <c r="W21" s="2"/>
      <c r="X21" s="7">
        <f t="shared" si="6"/>
        <v>-98.130000000000052</v>
      </c>
      <c r="Y21" s="2"/>
      <c r="Z21" s="8">
        <f t="shared" si="7"/>
        <v>-0.17074401447661477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8">
        <f t="shared" si="0"/>
        <v>0</v>
      </c>
      <c r="G22" s="2"/>
      <c r="H22" s="7">
        <v>696.16</v>
      </c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>
        <v>1392.32</v>
      </c>
      <c r="Q22" s="2"/>
      <c r="R22" s="8">
        <f t="shared" si="4"/>
        <v>0</v>
      </c>
      <c r="S22" s="2"/>
      <c r="T22" s="7">
        <v>1392.32</v>
      </c>
      <c r="U22" s="2"/>
      <c r="V22" s="8">
        <f t="shared" si="5"/>
        <v>0</v>
      </c>
      <c r="W22" s="2"/>
      <c r="X22" s="7">
        <f t="shared" si="6"/>
        <v>0</v>
      </c>
      <c r="Y22" s="2"/>
      <c r="Z22" s="8">
        <f t="shared" si="7"/>
        <v>0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11.57</v>
      </c>
      <c r="E23" s="2"/>
      <c r="F23" s="8">
        <f t="shared" si="0"/>
        <v>0</v>
      </c>
      <c r="G23" s="2"/>
      <c r="H23" s="7">
        <v>10.74</v>
      </c>
      <c r="I23" s="2"/>
      <c r="J23" s="8">
        <f t="shared" si="1"/>
        <v>0</v>
      </c>
      <c r="K23" s="2"/>
      <c r="L23" s="7">
        <f t="shared" si="2"/>
        <v>0.83000000000000007</v>
      </c>
      <c r="M23" s="2"/>
      <c r="N23" s="8">
        <f t="shared" si="3"/>
        <v>7.7281191806331473E-2</v>
      </c>
      <c r="O23" s="11"/>
      <c r="P23" s="7">
        <v>22.41</v>
      </c>
      <c r="Q23" s="2"/>
      <c r="R23" s="8">
        <f t="shared" si="4"/>
        <v>0</v>
      </c>
      <c r="S23" s="2"/>
      <c r="T23" s="7">
        <v>21.57</v>
      </c>
      <c r="U23" s="2"/>
      <c r="V23" s="8">
        <f t="shared" si="5"/>
        <v>0</v>
      </c>
      <c r="W23" s="2"/>
      <c r="X23" s="7">
        <f t="shared" si="6"/>
        <v>0.83999999999999986</v>
      </c>
      <c r="Y23" s="2"/>
      <c r="Z23" s="8">
        <f t="shared" si="7"/>
        <v>3.8942976356050062E-2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456.93</v>
      </c>
      <c r="E24" s="2"/>
      <c r="F24" s="8">
        <f t="shared" si="0"/>
        <v>0</v>
      </c>
      <c r="G24" s="2"/>
      <c r="H24" s="7">
        <v>463.27</v>
      </c>
      <c r="I24" s="2"/>
      <c r="J24" s="8">
        <f t="shared" si="1"/>
        <v>0</v>
      </c>
      <c r="K24" s="2"/>
      <c r="L24" s="7">
        <f t="shared" si="2"/>
        <v>-6.339999999999975</v>
      </c>
      <c r="M24" s="2"/>
      <c r="N24" s="8">
        <f t="shared" si="3"/>
        <v>-1.368532389319398E-2</v>
      </c>
      <c r="O24" s="11"/>
      <c r="P24" s="7">
        <v>913.86</v>
      </c>
      <c r="Q24" s="2"/>
      <c r="R24" s="8">
        <f t="shared" si="4"/>
        <v>0</v>
      </c>
      <c r="S24" s="2"/>
      <c r="T24" s="7">
        <v>1158.18</v>
      </c>
      <c r="U24" s="2"/>
      <c r="V24" s="8">
        <f t="shared" si="5"/>
        <v>0</v>
      </c>
      <c r="W24" s="2"/>
      <c r="X24" s="7">
        <f t="shared" si="6"/>
        <v>-244.32000000000005</v>
      </c>
      <c r="Y24" s="2"/>
      <c r="Z24" s="8">
        <f t="shared" si="7"/>
        <v>-0.21095166554421596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/>
      <c r="E25" s="2"/>
      <c r="F25" s="8">
        <f t="shared" si="0"/>
        <v>0</v>
      </c>
      <c r="G25" s="2"/>
      <c r="H25" s="7">
        <v>226</v>
      </c>
      <c r="I25" s="2"/>
      <c r="J25" s="8">
        <f t="shared" si="1"/>
        <v>0</v>
      </c>
      <c r="K25" s="2"/>
      <c r="L25" s="7">
        <f t="shared" si="2"/>
        <v>-226</v>
      </c>
      <c r="M25" s="2"/>
      <c r="N25" s="8">
        <f t="shared" si="3"/>
        <v>-1</v>
      </c>
      <c r="O25" s="11"/>
      <c r="P25" s="7">
        <v>88.46</v>
      </c>
      <c r="Q25" s="2"/>
      <c r="R25" s="8">
        <f t="shared" si="4"/>
        <v>0</v>
      </c>
      <c r="S25" s="2"/>
      <c r="T25" s="7">
        <v>435.99</v>
      </c>
      <c r="U25" s="2"/>
      <c r="V25" s="8">
        <f t="shared" si="5"/>
        <v>0</v>
      </c>
      <c r="W25" s="2"/>
      <c r="X25" s="7">
        <f t="shared" si="6"/>
        <v>-347.53000000000003</v>
      </c>
      <c r="Y25" s="2"/>
      <c r="Z25" s="8">
        <f t="shared" si="7"/>
        <v>-0.79710543819812385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8">
        <f t="shared" si="0"/>
        <v>0</v>
      </c>
      <c r="G26" s="2"/>
      <c r="H26" s="7">
        <v>193.72</v>
      </c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>
        <v>387.44</v>
      </c>
      <c r="Q26" s="2"/>
      <c r="R26" s="8">
        <f t="shared" si="4"/>
        <v>0</v>
      </c>
      <c r="S26" s="2"/>
      <c r="T26" s="7">
        <v>387.44</v>
      </c>
      <c r="U26" s="2"/>
      <c r="V26" s="8">
        <f t="shared" si="5"/>
        <v>0</v>
      </c>
      <c r="W26" s="2"/>
      <c r="X26" s="7">
        <f t="shared" si="6"/>
        <v>0</v>
      </c>
      <c r="Y26" s="2"/>
      <c r="Z26" s="8">
        <f t="shared" si="7"/>
        <v>0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174.41</v>
      </c>
      <c r="E27" s="2"/>
      <c r="F27" s="8">
        <f t="shared" si="0"/>
        <v>0</v>
      </c>
      <c r="G27" s="2"/>
      <c r="H27" s="7">
        <v>154.66</v>
      </c>
      <c r="I27" s="2"/>
      <c r="J27" s="8">
        <f t="shared" si="1"/>
        <v>0</v>
      </c>
      <c r="K27" s="2"/>
      <c r="L27" s="7">
        <f t="shared" si="2"/>
        <v>19.75</v>
      </c>
      <c r="M27" s="2"/>
      <c r="N27" s="8">
        <f t="shared" si="3"/>
        <v>0.12769946980473296</v>
      </c>
      <c r="O27" s="11"/>
      <c r="P27" s="7">
        <v>349.41</v>
      </c>
      <c r="Q27" s="2"/>
      <c r="R27" s="8">
        <f t="shared" si="4"/>
        <v>0</v>
      </c>
      <c r="S27" s="2"/>
      <c r="T27" s="7">
        <v>298.66000000000003</v>
      </c>
      <c r="U27" s="2"/>
      <c r="V27" s="8">
        <f t="shared" si="5"/>
        <v>0</v>
      </c>
      <c r="W27" s="2"/>
      <c r="X27" s="7">
        <f t="shared" si="6"/>
        <v>50.75</v>
      </c>
      <c r="Y27" s="2"/>
      <c r="Z27" s="8">
        <f t="shared" si="7"/>
        <v>0.16992566798366032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4554.12</v>
      </c>
      <c r="E28" s="1"/>
      <c r="F28" s="5">
        <f t="shared" ref="F28:F34" si="8">IF(D$12=0,0,D28/D$12)</f>
        <v>0</v>
      </c>
      <c r="G28" s="1"/>
      <c r="H28" s="1">
        <f>SUM(OSRRefH22_1x_0)</f>
        <v>3989.75</v>
      </c>
      <c r="I28" s="1"/>
      <c r="J28" s="5">
        <f t="shared" ref="J28:J34" si="9">IF(H$12=0,0,H28/H$12)</f>
        <v>0</v>
      </c>
      <c r="K28" s="1"/>
      <c r="L28" s="1">
        <f t="shared" ref="L28:L34" si="10">+D28-H28</f>
        <v>564.36999999999989</v>
      </c>
      <c r="M28" s="1"/>
      <c r="N28" s="5">
        <f t="shared" ref="N28:N34" si="11">IF(H28=0,0,L28/H28)</f>
        <v>0.14145497838210411</v>
      </c>
      <c r="O28" s="14"/>
      <c r="P28" s="1">
        <f>SUM(OSRRefP22_1x_0)</f>
        <v>9593.8700000000008</v>
      </c>
      <c r="Q28" s="1"/>
      <c r="R28" s="5">
        <f t="shared" ref="R28:R34" si="12">IF(P$12=0,0,P28/P$12)</f>
        <v>0</v>
      </c>
      <c r="S28" s="1"/>
      <c r="T28" s="1">
        <f>SUM(OSRRefT22_1x_0)</f>
        <v>9029.5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564.3700000000008</v>
      </c>
      <c r="Y28" s="1"/>
      <c r="Z28" s="5">
        <f t="shared" ref="Z28:Z34" si="15">IF(T28=0,0,X28/T28)</f>
        <v>6.2502907137715349E-2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7">
        <v>4554.12</v>
      </c>
      <c r="E29" s="2"/>
      <c r="F29" s="8">
        <f t="shared" si="8"/>
        <v>0</v>
      </c>
      <c r="G29" s="2"/>
      <c r="H29" s="7">
        <v>3989.75</v>
      </c>
      <c r="I29" s="2"/>
      <c r="J29" s="8">
        <f t="shared" si="9"/>
        <v>0</v>
      </c>
      <c r="K29" s="2"/>
      <c r="L29" s="7">
        <f t="shared" si="10"/>
        <v>564.36999999999989</v>
      </c>
      <c r="M29" s="2"/>
      <c r="N29" s="8">
        <f t="shared" si="11"/>
        <v>0.14145497838210411</v>
      </c>
      <c r="O29" s="11"/>
      <c r="P29" s="7">
        <v>9593.8700000000008</v>
      </c>
      <c r="Q29" s="2"/>
      <c r="R29" s="8">
        <f t="shared" si="12"/>
        <v>0</v>
      </c>
      <c r="S29" s="2"/>
      <c r="T29" s="7">
        <v>9029.5</v>
      </c>
      <c r="U29" s="2"/>
      <c r="V29" s="8">
        <f t="shared" si="13"/>
        <v>0</v>
      </c>
      <c r="W29" s="2"/>
      <c r="X29" s="7">
        <f t="shared" si="14"/>
        <v>564.3700000000008</v>
      </c>
      <c r="Y29" s="2"/>
      <c r="Z29" s="8">
        <f t="shared" si="15"/>
        <v>6.2502907137715349E-2</v>
      </c>
    </row>
    <row r="30" spans="1:26" s="28" customFormat="1" outlineLevel="1" collapsed="1" x14ac:dyDescent="0.3">
      <c r="A30" s="29"/>
      <c r="B30" s="14" t="str">
        <f>CONCATENATE("     ","Insurance                                         ")</f>
        <v xml:space="preserve">     Insurance                                         </v>
      </c>
      <c r="C30" s="14"/>
      <c r="D30" s="1">
        <f>SUM(OSRRefD22_2x_0)</f>
        <v>33.380000000000003</v>
      </c>
      <c r="E30" s="1"/>
      <c r="F30" s="5">
        <f t="shared" si="8"/>
        <v>0</v>
      </c>
      <c r="G30" s="1"/>
      <c r="H30" s="1">
        <f>SUM(OSRRefH22_2x_0)</f>
        <v>24.56</v>
      </c>
      <c r="I30" s="1"/>
      <c r="J30" s="5">
        <f t="shared" si="9"/>
        <v>0</v>
      </c>
      <c r="K30" s="1"/>
      <c r="L30" s="1">
        <f t="shared" si="10"/>
        <v>8.8200000000000038</v>
      </c>
      <c r="M30" s="1"/>
      <c r="N30" s="5">
        <f t="shared" si="11"/>
        <v>0.3591205211726386</v>
      </c>
      <c r="O30" s="14"/>
      <c r="P30" s="1">
        <f>SUM(OSRRefP22_2x_0)</f>
        <v>66.760000000000005</v>
      </c>
      <c r="Q30" s="1"/>
      <c r="R30" s="5">
        <f t="shared" si="12"/>
        <v>0</v>
      </c>
      <c r="S30" s="1"/>
      <c r="T30" s="1">
        <f>SUM(OSRRefT22_2x_0)</f>
        <v>49.12</v>
      </c>
      <c r="U30" s="1"/>
      <c r="V30" s="5">
        <f t="shared" si="13"/>
        <v>0</v>
      </c>
      <c r="W30" s="1"/>
      <c r="X30" s="1">
        <f t="shared" si="14"/>
        <v>17.640000000000008</v>
      </c>
      <c r="Y30" s="1"/>
      <c r="Z30" s="5">
        <f t="shared" si="15"/>
        <v>0.3591205211726386</v>
      </c>
    </row>
    <row r="31" spans="1:26" s="24" customFormat="1" hidden="1" outlineLevel="2" x14ac:dyDescent="0.3">
      <c r="A31" s="27"/>
      <c r="B31" s="11" t="str">
        <f>CONCATENATE("          ", "6314", " - ", "LIABILITY INSURANCE")</f>
        <v xml:space="preserve">          6314 - LIABILITY INSURANCE</v>
      </c>
      <c r="C31" s="11"/>
      <c r="D31" s="7">
        <v>33.380000000000003</v>
      </c>
      <c r="E31" s="2"/>
      <c r="F31" s="8">
        <f t="shared" si="8"/>
        <v>0</v>
      </c>
      <c r="G31" s="2"/>
      <c r="H31" s="7">
        <v>24.56</v>
      </c>
      <c r="I31" s="2"/>
      <c r="J31" s="8">
        <f t="shared" si="9"/>
        <v>0</v>
      </c>
      <c r="K31" s="2"/>
      <c r="L31" s="7">
        <f t="shared" si="10"/>
        <v>8.8200000000000038</v>
      </c>
      <c r="M31" s="2"/>
      <c r="N31" s="8">
        <f t="shared" si="11"/>
        <v>0.3591205211726386</v>
      </c>
      <c r="O31" s="11"/>
      <c r="P31" s="7">
        <v>66.760000000000005</v>
      </c>
      <c r="Q31" s="2"/>
      <c r="R31" s="8">
        <f t="shared" si="12"/>
        <v>0</v>
      </c>
      <c r="S31" s="2"/>
      <c r="T31" s="7">
        <v>49.12</v>
      </c>
      <c r="U31" s="2"/>
      <c r="V31" s="8">
        <f t="shared" si="13"/>
        <v>0</v>
      </c>
      <c r="W31" s="2"/>
      <c r="X31" s="7">
        <f t="shared" si="14"/>
        <v>17.640000000000008</v>
      </c>
      <c r="Y31" s="2"/>
      <c r="Z31" s="8">
        <f t="shared" si="15"/>
        <v>0.3591205211726386</v>
      </c>
    </row>
    <row r="32" spans="1:26" s="28" customFormat="1" outlineLevel="1" collapsed="1" x14ac:dyDescent="0.3">
      <c r="A32" s="29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918.74</v>
      </c>
      <c r="E32" s="1"/>
      <c r="F32" s="5">
        <f t="shared" si="8"/>
        <v>0</v>
      </c>
      <c r="G32" s="1"/>
      <c r="H32" s="1">
        <f>SUM(OSRRefH22_3x_0)</f>
        <v>866</v>
      </c>
      <c r="I32" s="1"/>
      <c r="J32" s="5">
        <f t="shared" si="9"/>
        <v>0</v>
      </c>
      <c r="K32" s="1"/>
      <c r="L32" s="1">
        <f t="shared" si="10"/>
        <v>52.740000000000009</v>
      </c>
      <c r="M32" s="1"/>
      <c r="N32" s="5">
        <f t="shared" si="11"/>
        <v>6.0900692840646663E-2</v>
      </c>
      <c r="O32" s="14"/>
      <c r="P32" s="1">
        <f>SUM(OSRRefP22_3x_0)</f>
        <v>1810.72</v>
      </c>
      <c r="Q32" s="1"/>
      <c r="R32" s="5">
        <f t="shared" si="12"/>
        <v>0</v>
      </c>
      <c r="S32" s="1"/>
      <c r="T32" s="1">
        <f>SUM(OSRRefT22_3x_0)</f>
        <v>2551.19</v>
      </c>
      <c r="U32" s="1"/>
      <c r="V32" s="5">
        <f t="shared" si="13"/>
        <v>0</v>
      </c>
      <c r="W32" s="1"/>
      <c r="X32" s="1">
        <f t="shared" si="14"/>
        <v>-740.47</v>
      </c>
      <c r="Y32" s="1"/>
      <c r="Z32" s="5">
        <f t="shared" si="15"/>
        <v>-0.29024494451608857</v>
      </c>
    </row>
    <row r="33" spans="1:26" s="24" customFormat="1" hidden="1" outlineLevel="2" x14ac:dyDescent="0.3">
      <c r="A33" s="27"/>
      <c r="B33" s="11" t="str">
        <f>CONCATENATE("          ", "6373", " - ", "MAINTENANCE CONTRACTS")</f>
        <v xml:space="preserve">          6373 - MAINTENANCE CONTRACTS</v>
      </c>
      <c r="C33" s="11"/>
      <c r="D33" s="7">
        <v>918.74</v>
      </c>
      <c r="E33" s="2"/>
      <c r="F33" s="8">
        <f t="shared" si="8"/>
        <v>0</v>
      </c>
      <c r="G33" s="2"/>
      <c r="H33" s="7">
        <v>866</v>
      </c>
      <c r="I33" s="2"/>
      <c r="J33" s="8">
        <f t="shared" si="9"/>
        <v>0</v>
      </c>
      <c r="K33" s="2"/>
      <c r="L33" s="7">
        <f t="shared" si="10"/>
        <v>52.740000000000009</v>
      </c>
      <c r="M33" s="2"/>
      <c r="N33" s="8">
        <f t="shared" si="11"/>
        <v>6.0900692840646663E-2</v>
      </c>
      <c r="O33" s="11"/>
      <c r="P33" s="7">
        <v>1810.72</v>
      </c>
      <c r="Q33" s="2"/>
      <c r="R33" s="8">
        <f t="shared" si="12"/>
        <v>0</v>
      </c>
      <c r="S33" s="2"/>
      <c r="T33" s="7">
        <v>1732</v>
      </c>
      <c r="U33" s="2"/>
      <c r="V33" s="8">
        <f t="shared" si="13"/>
        <v>0</v>
      </c>
      <c r="W33" s="2"/>
      <c r="X33" s="7">
        <f t="shared" si="14"/>
        <v>78.720000000000027</v>
      </c>
      <c r="Y33" s="2"/>
      <c r="Z33" s="8">
        <f t="shared" si="15"/>
        <v>4.5450346420323341E-2</v>
      </c>
    </row>
    <row r="34" spans="1:26" s="24" customFormat="1" hidden="1" outlineLevel="2" x14ac:dyDescent="0.3">
      <c r="A34" s="27"/>
      <c r="B34" s="11" t="str">
        <f>CONCATENATE("          ", "6375", " - ", "OUTSIDE REPAIRS &amp; MAINTENANCE")</f>
        <v xml:space="preserve">          6375 - OUTSIDE REPAIRS &amp; MAINTENANCE</v>
      </c>
      <c r="C34" s="11"/>
      <c r="D34" s="7">
        <v>0</v>
      </c>
      <c r="E34" s="2"/>
      <c r="F34" s="8">
        <f t="shared" si="8"/>
        <v>0</v>
      </c>
      <c r="G34" s="2"/>
      <c r="H34" s="7"/>
      <c r="I34" s="2"/>
      <c r="J34" s="8">
        <f t="shared" si="9"/>
        <v>0</v>
      </c>
      <c r="K34" s="2"/>
      <c r="L34" s="7">
        <f t="shared" si="10"/>
        <v>0</v>
      </c>
      <c r="M34" s="2"/>
      <c r="N34" s="8">
        <f t="shared" si="11"/>
        <v>0</v>
      </c>
      <c r="O34" s="11"/>
      <c r="P34" s="7">
        <v>0</v>
      </c>
      <c r="Q34" s="2"/>
      <c r="R34" s="8">
        <f t="shared" si="12"/>
        <v>0</v>
      </c>
      <c r="S34" s="2"/>
      <c r="T34" s="7">
        <v>819.19</v>
      </c>
      <c r="U34" s="2"/>
      <c r="V34" s="8">
        <f t="shared" si="13"/>
        <v>0</v>
      </c>
      <c r="W34" s="2"/>
      <c r="X34" s="7">
        <f t="shared" si="14"/>
        <v>-819.19</v>
      </c>
      <c r="Y34" s="2"/>
      <c r="Z34" s="8">
        <f t="shared" si="15"/>
        <v>-1</v>
      </c>
    </row>
    <row r="35" spans="1:26" s="28" customFormat="1" outlineLevel="1" collapsed="1" x14ac:dyDescent="0.3">
      <c r="A35" s="29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26.1</v>
      </c>
      <c r="E35" s="1"/>
      <c r="F35" s="5">
        <f t="shared" ref="F35:F38" si="16">IF(D$12=0,0,D35/D$12)</f>
        <v>0</v>
      </c>
      <c r="G35" s="1"/>
      <c r="H35" s="1">
        <f>SUM(OSRRefH22_4x_0)</f>
        <v>0</v>
      </c>
      <c r="I35" s="1"/>
      <c r="J35" s="5">
        <f t="shared" ref="J35:J38" si="17">IF(H$12=0,0,H35/H$12)</f>
        <v>0</v>
      </c>
      <c r="K35" s="1"/>
      <c r="L35" s="1">
        <f t="shared" ref="L35:L38" si="18">+D35-H35</f>
        <v>26.1</v>
      </c>
      <c r="M35" s="1"/>
      <c r="N35" s="5">
        <f t="shared" ref="N35:N38" si="19">IF(H35=0,0,L35/H35)</f>
        <v>0</v>
      </c>
      <c r="O35" s="14"/>
      <c r="P35" s="1">
        <f>SUM(OSRRefP22_4x_0)</f>
        <v>26.1</v>
      </c>
      <c r="Q35" s="1"/>
      <c r="R35" s="5">
        <f t="shared" ref="R35:R38" si="20">IF(P$12=0,0,P35/P$12)</f>
        <v>0</v>
      </c>
      <c r="S35" s="1"/>
      <c r="T35" s="1">
        <f>SUM(OSRRefT22_4x_0)</f>
        <v>0</v>
      </c>
      <c r="U35" s="1"/>
      <c r="V35" s="5">
        <f t="shared" ref="V35:V38" si="21">IF(T$12=0,0,T35/T$12)</f>
        <v>0</v>
      </c>
      <c r="W35" s="1"/>
      <c r="X35" s="1">
        <f t="shared" ref="X35:X38" si="22">+P35-T35</f>
        <v>26.1</v>
      </c>
      <c r="Y35" s="1"/>
      <c r="Z35" s="5">
        <f t="shared" ref="Z35:Z38" si="23">IF(T35=0,0,X35/T35)</f>
        <v>0</v>
      </c>
    </row>
    <row r="36" spans="1:26" s="24" customFormat="1" hidden="1" outlineLevel="2" x14ac:dyDescent="0.3">
      <c r="A36" s="27"/>
      <c r="B36" s="11" t="str">
        <f>CONCATENATE("          ", "6234", " - ", "EXPENDABLE SUPPLIES &amp; EQUIPMEN")</f>
        <v xml:space="preserve">          6234 - EXPENDABLE SUPPLIES &amp; EQUIPMEN</v>
      </c>
      <c r="C36" s="11"/>
      <c r="D36" s="7">
        <v>26.1</v>
      </c>
      <c r="E36" s="2"/>
      <c r="F36" s="8">
        <f t="shared" si="16"/>
        <v>0</v>
      </c>
      <c r="G36" s="2"/>
      <c r="H36" s="7"/>
      <c r="I36" s="2"/>
      <c r="J36" s="8">
        <f t="shared" si="17"/>
        <v>0</v>
      </c>
      <c r="K36" s="2"/>
      <c r="L36" s="7">
        <f t="shared" si="18"/>
        <v>26.1</v>
      </c>
      <c r="M36" s="2"/>
      <c r="N36" s="8">
        <f t="shared" si="19"/>
        <v>0</v>
      </c>
      <c r="O36" s="11"/>
      <c r="P36" s="7">
        <v>26.1</v>
      </c>
      <c r="Q36" s="2"/>
      <c r="R36" s="8">
        <f t="shared" si="20"/>
        <v>0</v>
      </c>
      <c r="S36" s="2"/>
      <c r="T36" s="7"/>
      <c r="U36" s="2"/>
      <c r="V36" s="8">
        <f t="shared" si="21"/>
        <v>0</v>
      </c>
      <c r="W36" s="2"/>
      <c r="X36" s="7">
        <f t="shared" si="22"/>
        <v>26.1</v>
      </c>
      <c r="Y36" s="2"/>
      <c r="Z36" s="8">
        <f t="shared" si="23"/>
        <v>0</v>
      </c>
    </row>
    <row r="37" spans="1:26" s="28" customFormat="1" outlineLevel="1" collapsed="1" x14ac:dyDescent="0.3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98</v>
      </c>
      <c r="E37" s="1"/>
      <c r="F37" s="5">
        <f t="shared" si="16"/>
        <v>0</v>
      </c>
      <c r="G37" s="1"/>
      <c r="H37" s="1">
        <f>SUM(OSRRefH22_5x_0)</f>
        <v>50</v>
      </c>
      <c r="I37" s="1"/>
      <c r="J37" s="5">
        <f t="shared" si="17"/>
        <v>0</v>
      </c>
      <c r="K37" s="1"/>
      <c r="L37" s="1">
        <f t="shared" si="18"/>
        <v>48</v>
      </c>
      <c r="M37" s="1"/>
      <c r="N37" s="5">
        <f t="shared" si="19"/>
        <v>0.96</v>
      </c>
      <c r="O37" s="14"/>
      <c r="P37" s="1">
        <f>SUM(OSRRefP22_5x_0)</f>
        <v>146</v>
      </c>
      <c r="Q37" s="1"/>
      <c r="R37" s="5">
        <f t="shared" si="20"/>
        <v>0</v>
      </c>
      <c r="S37" s="1"/>
      <c r="T37" s="1">
        <f>SUM(OSRRefT22_5x_0)</f>
        <v>123</v>
      </c>
      <c r="U37" s="1"/>
      <c r="V37" s="5">
        <f t="shared" si="21"/>
        <v>0</v>
      </c>
      <c r="W37" s="1"/>
      <c r="X37" s="1">
        <f t="shared" si="22"/>
        <v>23</v>
      </c>
      <c r="Y37" s="1"/>
      <c r="Z37" s="5">
        <f t="shared" si="23"/>
        <v>0.18699186991869918</v>
      </c>
    </row>
    <row r="38" spans="1:26" s="24" customFormat="1" hidden="1" outlineLevel="2" x14ac:dyDescent="0.3">
      <c r="A38" s="27"/>
      <c r="B38" s="11" t="str">
        <f>CONCATENATE("          ", "6309", " - ", "TELEPHONE")</f>
        <v xml:space="preserve">          6309 - TELEPHONE</v>
      </c>
      <c r="C38" s="11"/>
      <c r="D38" s="7">
        <v>98</v>
      </c>
      <c r="E38" s="2"/>
      <c r="F38" s="8">
        <f t="shared" si="16"/>
        <v>0</v>
      </c>
      <c r="G38" s="2"/>
      <c r="H38" s="7">
        <v>50</v>
      </c>
      <c r="I38" s="2"/>
      <c r="J38" s="8">
        <f t="shared" si="17"/>
        <v>0</v>
      </c>
      <c r="K38" s="2"/>
      <c r="L38" s="7">
        <f t="shared" si="18"/>
        <v>48</v>
      </c>
      <c r="M38" s="2"/>
      <c r="N38" s="8">
        <f t="shared" si="19"/>
        <v>0.96</v>
      </c>
      <c r="O38" s="11"/>
      <c r="P38" s="7">
        <v>146</v>
      </c>
      <c r="Q38" s="2"/>
      <c r="R38" s="8">
        <f t="shared" si="20"/>
        <v>0</v>
      </c>
      <c r="S38" s="2"/>
      <c r="T38" s="7">
        <v>123</v>
      </c>
      <c r="U38" s="2"/>
      <c r="V38" s="8">
        <f t="shared" si="21"/>
        <v>0</v>
      </c>
      <c r="W38" s="2"/>
      <c r="X38" s="7">
        <f t="shared" si="22"/>
        <v>23</v>
      </c>
      <c r="Y38" s="2"/>
      <c r="Z38" s="8">
        <f t="shared" si="23"/>
        <v>0.18699186991869918</v>
      </c>
    </row>
    <row r="39" spans="1:26" s="61" customFormat="1" x14ac:dyDescent="0.3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3">
      <c r="A40" s="10"/>
      <c r="B40" s="26" t="s">
        <v>292</v>
      </c>
      <c r="C40" s="10"/>
      <c r="D40" s="4">
        <f>SUM(0)</f>
        <v>0</v>
      </c>
      <c r="E40" s="4"/>
      <c r="F40" s="12">
        <f>IF(D$12=0,0,D40/D$12)</f>
        <v>0</v>
      </c>
      <c r="G40" s="4"/>
      <c r="H40" s="4">
        <f>SUM(0)</f>
        <v>0</v>
      </c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>
        <f>SUM(0)</f>
        <v>0</v>
      </c>
      <c r="Q40" s="4"/>
      <c r="R40" s="12">
        <f>IF(P$12=0,0,P40/P$12)</f>
        <v>0</v>
      </c>
      <c r="S40" s="4"/>
      <c r="T40" s="4">
        <f>SUM(0)</f>
        <v>0</v>
      </c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6"/>
      <c r="G41" s="3"/>
      <c r="H41" s="3"/>
      <c r="I41" s="3"/>
      <c r="J41" s="6"/>
      <c r="K41" s="3"/>
      <c r="L41" s="3"/>
      <c r="M41" s="3"/>
      <c r="N41" s="6"/>
      <c r="O41" s="10"/>
      <c r="P41" s="3"/>
      <c r="Q41" s="3"/>
      <c r="R41" s="6"/>
      <c r="S41" s="3"/>
      <c r="T41" s="3"/>
      <c r="U41" s="3"/>
      <c r="V41" s="6"/>
      <c r="W41" s="3"/>
      <c r="X41" s="3"/>
      <c r="Y41" s="3"/>
      <c r="Z41" s="6"/>
    </row>
    <row r="42" spans="1:26" s="23" customFormat="1" x14ac:dyDescent="0.3">
      <c r="A42" s="10"/>
      <c r="B42" s="25" t="s">
        <v>276</v>
      </c>
      <c r="C42" s="25"/>
      <c r="D42" s="20">
        <f>+D16-D18+D40</f>
        <v>-7758.59</v>
      </c>
      <c r="E42" s="13"/>
      <c r="F42" s="22">
        <f>IF(D$12=0,0,D42/D$12)</f>
        <v>0</v>
      </c>
      <c r="G42" s="13"/>
      <c r="H42" s="20">
        <f>+H16-H18+H40</f>
        <v>-7276.8300000000008</v>
      </c>
      <c r="I42" s="13"/>
      <c r="J42" s="22">
        <f>IF(H$12=0,0,H42/H$12)</f>
        <v>0</v>
      </c>
      <c r="K42" s="15"/>
      <c r="L42" s="20">
        <f>+D42-H42</f>
        <v>-481.75999999999931</v>
      </c>
      <c r="M42" s="15"/>
      <c r="N42" s="22">
        <f>IF(H42=0,0,L42/H42)</f>
        <v>6.6204652300520861E-2</v>
      </c>
      <c r="O42" s="26"/>
      <c r="P42" s="20">
        <f>+P16-P18+P40</f>
        <v>-15942.27</v>
      </c>
      <c r="Q42" s="13"/>
      <c r="R42" s="22">
        <f>IF(P$12=0,0,P42/P$12)</f>
        <v>0</v>
      </c>
      <c r="S42" s="13"/>
      <c r="T42" s="20">
        <f>+T16-T18+T40</f>
        <v>-16656.09</v>
      </c>
      <c r="U42" s="13"/>
      <c r="V42" s="22">
        <f>IF(T$12=0,0,T42/T$12)</f>
        <v>0</v>
      </c>
      <c r="W42" s="15"/>
      <c r="X42" s="20">
        <f>+P42-T42</f>
        <v>713.81999999999971</v>
      </c>
      <c r="Y42" s="15"/>
      <c r="Z42" s="22">
        <f>IF(T42=0,0,X42/T42)</f>
        <v>-4.2856396669326335E-2</v>
      </c>
    </row>
    <row r="43" spans="1:26" x14ac:dyDescent="0.3">
      <c r="A43" s="9"/>
      <c r="B43" s="10"/>
      <c r="C43" s="9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s="23" customFormat="1" x14ac:dyDescent="0.3">
      <c r="A44" s="51"/>
      <c r="B44" s="10" t="s">
        <v>127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O45" s="10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ht="15" thickBot="1" x14ac:dyDescent="0.35">
      <c r="A46" s="10"/>
      <c r="B46" s="25" t="s">
        <v>125</v>
      </c>
      <c r="C46" s="25"/>
      <c r="D46" s="33">
        <f>+D42-D44</f>
        <v>-7758.59</v>
      </c>
      <c r="E46" s="13"/>
      <c r="F46" s="36">
        <f>IF(D$12=0,0,D46/D$12)</f>
        <v>0</v>
      </c>
      <c r="G46" s="13"/>
      <c r="H46" s="33">
        <f>+H42-H44</f>
        <v>-7276.8300000000008</v>
      </c>
      <c r="I46" s="13"/>
      <c r="J46" s="36">
        <f>IF(H$12=0,0,H46/H$12)</f>
        <v>0</v>
      </c>
      <c r="K46" s="15"/>
      <c r="L46" s="33">
        <f>D46-H46</f>
        <v>-481.75999999999931</v>
      </c>
      <c r="M46" s="15"/>
      <c r="N46" s="36">
        <f>IF(H46=0,0,L46/H46)</f>
        <v>6.6204652300520861E-2</v>
      </c>
      <c r="O46" s="26"/>
      <c r="P46" s="33">
        <f>+P42-P44</f>
        <v>-15942.27</v>
      </c>
      <c r="Q46" s="13"/>
      <c r="R46" s="36">
        <f>IF(P$12=0,0,P46/P$12)</f>
        <v>0</v>
      </c>
      <c r="S46" s="13"/>
      <c r="T46" s="33">
        <f>+T42-T44</f>
        <v>-16656.09</v>
      </c>
      <c r="U46" s="13"/>
      <c r="V46" s="36">
        <f>IF(T$12=0,0,T46/T$12)</f>
        <v>0</v>
      </c>
      <c r="W46" s="15"/>
      <c r="X46" s="33">
        <f>P46-T46</f>
        <v>713.81999999999971</v>
      </c>
      <c r="Y46" s="15"/>
      <c r="Z46" s="36">
        <f>IF(T46=0,0,X46/T46)</f>
        <v>-4.2856396669326335E-2</v>
      </c>
    </row>
    <row r="47" spans="1:26" ht="15" thickTop="1" x14ac:dyDescent="0.3">
      <c r="A47" s="9"/>
      <c r="B47" s="9"/>
      <c r="C47" s="9"/>
      <c r="D47" s="3"/>
      <c r="E47" s="3"/>
      <c r="F47" s="6"/>
      <c r="G47" s="3"/>
      <c r="H47" s="3"/>
      <c r="I47" s="3"/>
      <c r="J47" s="6"/>
      <c r="K47" s="3"/>
      <c r="L47" s="3"/>
      <c r="M47" s="3"/>
      <c r="N47" s="6"/>
      <c r="P47" s="3"/>
      <c r="Q47" s="3"/>
      <c r="R47" s="6"/>
      <c r="S47" s="3"/>
      <c r="T47" s="3"/>
      <c r="U47" s="3"/>
      <c r="V47" s="6"/>
      <c r="W47" s="3"/>
      <c r="X47" s="3"/>
      <c r="Y47" s="3"/>
      <c r="Z47" s="6"/>
    </row>
    <row r="48" spans="1:26" x14ac:dyDescent="0.3">
      <c r="A48" s="9"/>
      <c r="B48" s="9"/>
      <c r="C48" s="9"/>
      <c r="D48" s="3"/>
      <c r="E48" s="3"/>
      <c r="F48" s="6"/>
      <c r="G48" s="3"/>
      <c r="H48" s="3"/>
      <c r="I48" s="3"/>
      <c r="J48" s="6"/>
      <c r="K48" s="3"/>
      <c r="L48" s="3"/>
      <c r="M48" s="3"/>
      <c r="N48" s="6"/>
      <c r="P48" s="3"/>
      <c r="Q48" s="3"/>
      <c r="R48" s="6"/>
      <c r="S48" s="3"/>
      <c r="T48" s="3"/>
      <c r="U48" s="3"/>
      <c r="V48" s="6"/>
      <c r="W48" s="3"/>
      <c r="X48" s="3"/>
      <c r="Y48" s="3"/>
      <c r="Z48" s="6"/>
    </row>
    <row r="49" spans="1:26" s="23" customFormat="1" ht="15" thickBot="1" x14ac:dyDescent="0.35">
      <c r="A49" s="10"/>
      <c r="B49" s="25" t="s">
        <v>293</v>
      </c>
      <c r="C49" s="25"/>
      <c r="D49" s="30">
        <f>SUM(D46:D48)</f>
        <v>-7758.59</v>
      </c>
      <c r="E49" s="13"/>
      <c r="F49" s="31">
        <f>IF(D$12=0,0,D49/D$12)</f>
        <v>0</v>
      </c>
      <c r="G49" s="13"/>
      <c r="H49" s="30">
        <f>SUM(H46:H48)</f>
        <v>-7276.8300000000008</v>
      </c>
      <c r="I49" s="13"/>
      <c r="J49" s="31">
        <f>IF(H$12=0,0,H49/H$12)</f>
        <v>0</v>
      </c>
      <c r="K49" s="15"/>
      <c r="L49" s="30">
        <f>+D49-H49</f>
        <v>-481.75999999999931</v>
      </c>
      <c r="M49" s="15"/>
      <c r="N49" s="31">
        <f>IF(H49=0,0,L49/H49)</f>
        <v>6.6204652300520861E-2</v>
      </c>
      <c r="O49" s="26"/>
      <c r="P49" s="30">
        <f>SUM(P46:P48)</f>
        <v>-15942.27</v>
      </c>
      <c r="Q49" s="13"/>
      <c r="R49" s="31">
        <f>IF(P$12=0,0,P49/P$12)</f>
        <v>0</v>
      </c>
      <c r="S49" s="13"/>
      <c r="T49" s="30">
        <f>SUM(T46:T48)</f>
        <v>-16656.09</v>
      </c>
      <c r="U49" s="13"/>
      <c r="V49" s="31">
        <f>IF(T$12=0,0,T49/T$12)</f>
        <v>0</v>
      </c>
      <c r="W49" s="15"/>
      <c r="X49" s="30">
        <f>+P49-T49</f>
        <v>713.81999999999971</v>
      </c>
      <c r="Y49" s="15"/>
      <c r="Z49" s="31">
        <f>IF(T49=0,0,X49/T49)</f>
        <v>-4.2856396669326335E-2</v>
      </c>
    </row>
    <row r="50" spans="1:26" ht="15" thickTop="1" x14ac:dyDescent="0.3">
      <c r="A50" s="9"/>
      <c r="C50" s="9"/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6" x14ac:dyDescent="0.3">
      <c r="A51" s="9"/>
      <c r="B51" s="59">
        <v>44470.840542939812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3">
      <c r="A52" s="9"/>
      <c r="B52" s="58" t="s">
        <v>56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52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","206", " - ", "Communications")</f>
        <v>Department 206 - Communications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7822.71</v>
      </c>
      <c r="E18" s="21"/>
      <c r="F18" s="32">
        <f t="shared" ref="F18:F26" si="0">IF(D$12=0,0,D18/D$12)</f>
        <v>0</v>
      </c>
      <c r="G18" s="21"/>
      <c r="H18" s="21">
        <f>SUM(OSRRefH22x_0)</f>
        <v>8415.8599999999988</v>
      </c>
      <c r="I18" s="21"/>
      <c r="J18" s="32">
        <f t="shared" ref="J18:J26" si="1">IF(H$12=0,0,H18/H$12)</f>
        <v>0</v>
      </c>
      <c r="K18" s="4"/>
      <c r="L18" s="21">
        <f t="shared" ref="L18:L26" si="2">+D18-H18</f>
        <v>-593.14999999999873</v>
      </c>
      <c r="M18" s="4"/>
      <c r="N18" s="32">
        <f t="shared" ref="N18:N26" si="3">IF(H18=0,0,L18/H18)</f>
        <v>-7.0480022243715884E-2</v>
      </c>
      <c r="O18" s="10"/>
      <c r="P18" s="21">
        <f>SUM(OSRRefP22x_0)</f>
        <v>18293.41</v>
      </c>
      <c r="Q18" s="21"/>
      <c r="R18" s="32">
        <f t="shared" ref="R18:R26" si="4">IF(P$12=0,0,P18/P$12)</f>
        <v>0</v>
      </c>
      <c r="S18" s="21"/>
      <c r="T18" s="21">
        <f>SUM(OSRRefT22x_0)</f>
        <v>18771.919999999998</v>
      </c>
      <c r="U18" s="21"/>
      <c r="V18" s="32">
        <f t="shared" ref="V18:V26" si="5">IF(T$12=0,0,T18/T$12)</f>
        <v>0</v>
      </c>
      <c r="W18" s="4"/>
      <c r="X18" s="21">
        <f t="shared" ref="X18:X26" si="6">+P18-T18</f>
        <v>-478.5099999999984</v>
      </c>
      <c r="Y18" s="4"/>
      <c r="Z18" s="32">
        <f t="shared" ref="Z18:Z26" si="7">IF(T18=0,0,X18/T18)</f>
        <v>-2.5490732967112496E-2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1942.2400000000002</v>
      </c>
      <c r="E19" s="1"/>
      <c r="F19" s="5">
        <f t="shared" si="0"/>
        <v>0</v>
      </c>
      <c r="G19" s="1"/>
      <c r="H19" s="1">
        <f>SUM(OSRRefH22_0x_0)</f>
        <v>1529.65</v>
      </c>
      <c r="I19" s="1"/>
      <c r="J19" s="5">
        <f t="shared" si="1"/>
        <v>0</v>
      </c>
      <c r="K19" s="1"/>
      <c r="L19" s="1">
        <f t="shared" si="2"/>
        <v>412.59000000000015</v>
      </c>
      <c r="M19" s="1"/>
      <c r="N19" s="5">
        <f t="shared" si="3"/>
        <v>0.26972836923479238</v>
      </c>
      <c r="O19" s="14"/>
      <c r="P19" s="1">
        <f>SUM(OSRRefP22_0x_0)</f>
        <v>3828.8600000000006</v>
      </c>
      <c r="Q19" s="1"/>
      <c r="R19" s="5">
        <f t="shared" si="4"/>
        <v>0</v>
      </c>
      <c r="S19" s="1"/>
      <c r="T19" s="1">
        <f>SUM(OSRRefT22_0x_0)</f>
        <v>3078.56</v>
      </c>
      <c r="U19" s="1"/>
      <c r="V19" s="5">
        <f t="shared" si="5"/>
        <v>0</v>
      </c>
      <c r="W19" s="1"/>
      <c r="X19" s="1">
        <f t="shared" si="6"/>
        <v>750.30000000000064</v>
      </c>
      <c r="Y19" s="1"/>
      <c r="Z19" s="5">
        <f t="shared" si="7"/>
        <v>0.24371784210799877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483.01</v>
      </c>
      <c r="E20" s="2"/>
      <c r="F20" s="8">
        <f t="shared" si="0"/>
        <v>0</v>
      </c>
      <c r="G20" s="2"/>
      <c r="H20" s="7">
        <v>384.71</v>
      </c>
      <c r="I20" s="2"/>
      <c r="J20" s="8">
        <f t="shared" si="1"/>
        <v>0</v>
      </c>
      <c r="K20" s="2"/>
      <c r="L20" s="7">
        <f t="shared" si="2"/>
        <v>98.300000000000011</v>
      </c>
      <c r="M20" s="2"/>
      <c r="N20" s="8">
        <f t="shared" si="3"/>
        <v>0.25551714278287546</v>
      </c>
      <c r="O20" s="11"/>
      <c r="P20" s="7">
        <v>981.52</v>
      </c>
      <c r="Q20" s="2"/>
      <c r="R20" s="8">
        <f t="shared" si="4"/>
        <v>0</v>
      </c>
      <c r="S20" s="2"/>
      <c r="T20" s="7">
        <v>789.36</v>
      </c>
      <c r="U20" s="2"/>
      <c r="V20" s="8">
        <f t="shared" si="5"/>
        <v>0</v>
      </c>
      <c r="W20" s="2"/>
      <c r="X20" s="7">
        <f t="shared" si="6"/>
        <v>192.15999999999997</v>
      </c>
      <c r="Y20" s="2"/>
      <c r="Z20" s="8">
        <f t="shared" si="7"/>
        <v>0.24343772169859121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81.349999999999994</v>
      </c>
      <c r="E21" s="2"/>
      <c r="F21" s="8">
        <f t="shared" si="0"/>
        <v>0</v>
      </c>
      <c r="G21" s="2"/>
      <c r="H21" s="7">
        <v>21.18</v>
      </c>
      <c r="I21" s="2"/>
      <c r="J21" s="8">
        <f t="shared" si="1"/>
        <v>0</v>
      </c>
      <c r="K21" s="2"/>
      <c r="L21" s="7">
        <f t="shared" si="2"/>
        <v>60.169999999999995</v>
      </c>
      <c r="M21" s="2"/>
      <c r="N21" s="8">
        <f t="shared" si="3"/>
        <v>2.8408876298394712</v>
      </c>
      <c r="O21" s="11"/>
      <c r="P21" s="7">
        <v>165.03</v>
      </c>
      <c r="Q21" s="2"/>
      <c r="R21" s="8">
        <f t="shared" si="4"/>
        <v>0</v>
      </c>
      <c r="S21" s="2"/>
      <c r="T21" s="7">
        <v>41.98</v>
      </c>
      <c r="U21" s="2"/>
      <c r="V21" s="8">
        <f t="shared" si="5"/>
        <v>0</v>
      </c>
      <c r="W21" s="2"/>
      <c r="X21" s="7">
        <f t="shared" si="6"/>
        <v>123.05000000000001</v>
      </c>
      <c r="Y21" s="2"/>
      <c r="Z21" s="8">
        <f t="shared" si="7"/>
        <v>2.931157694140067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8">
        <f t="shared" si="0"/>
        <v>0</v>
      </c>
      <c r="G22" s="2"/>
      <c r="H22" s="7">
        <v>700.87</v>
      </c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>
        <v>1401.74</v>
      </c>
      <c r="Q22" s="2"/>
      <c r="R22" s="8">
        <f t="shared" si="4"/>
        <v>0</v>
      </c>
      <c r="S22" s="2"/>
      <c r="T22" s="7">
        <v>1401.74</v>
      </c>
      <c r="U22" s="2"/>
      <c r="V22" s="8">
        <f t="shared" si="5"/>
        <v>0</v>
      </c>
      <c r="W22" s="2"/>
      <c r="X22" s="7">
        <f t="shared" si="6"/>
        <v>0</v>
      </c>
      <c r="Y22" s="2"/>
      <c r="Z22" s="8">
        <f t="shared" si="7"/>
        <v>0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16.399999999999999</v>
      </c>
      <c r="E23" s="2"/>
      <c r="F23" s="8">
        <f t="shared" si="0"/>
        <v>0</v>
      </c>
      <c r="G23" s="2"/>
      <c r="H23" s="7">
        <v>16.690000000000001</v>
      </c>
      <c r="I23" s="2"/>
      <c r="J23" s="8">
        <f t="shared" si="1"/>
        <v>0</v>
      </c>
      <c r="K23" s="2"/>
      <c r="L23" s="7">
        <f t="shared" si="2"/>
        <v>-0.2900000000000027</v>
      </c>
      <c r="M23" s="2"/>
      <c r="N23" s="8">
        <f t="shared" si="3"/>
        <v>-1.7375674056321309E-2</v>
      </c>
      <c r="O23" s="11"/>
      <c r="P23" s="7">
        <v>33.270000000000003</v>
      </c>
      <c r="Q23" s="2"/>
      <c r="R23" s="8">
        <f t="shared" si="4"/>
        <v>0</v>
      </c>
      <c r="S23" s="2"/>
      <c r="T23" s="7">
        <v>33.08</v>
      </c>
      <c r="U23" s="2"/>
      <c r="V23" s="8">
        <f t="shared" si="5"/>
        <v>0</v>
      </c>
      <c r="W23" s="2"/>
      <c r="X23" s="7">
        <f t="shared" si="6"/>
        <v>0.19000000000000483</v>
      </c>
      <c r="Y23" s="2"/>
      <c r="Z23" s="8">
        <f t="shared" si="7"/>
        <v>5.7436517533254183E-3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7">
        <v>276.60000000000002</v>
      </c>
      <c r="E24" s="2"/>
      <c r="F24" s="8">
        <f t="shared" si="0"/>
        <v>0</v>
      </c>
      <c r="G24" s="2"/>
      <c r="H24" s="7">
        <v>184.8</v>
      </c>
      <c r="I24" s="2"/>
      <c r="J24" s="8">
        <f t="shared" si="1"/>
        <v>0</v>
      </c>
      <c r="K24" s="2"/>
      <c r="L24" s="7">
        <f t="shared" si="2"/>
        <v>91.800000000000011</v>
      </c>
      <c r="M24" s="2"/>
      <c r="N24" s="8">
        <f t="shared" si="3"/>
        <v>0.49675324675324678</v>
      </c>
      <c r="O24" s="11"/>
      <c r="P24" s="7">
        <v>553.20000000000005</v>
      </c>
      <c r="Q24" s="2"/>
      <c r="R24" s="8">
        <f t="shared" si="4"/>
        <v>0</v>
      </c>
      <c r="S24" s="2"/>
      <c r="T24" s="7">
        <v>369.6</v>
      </c>
      <c r="U24" s="2"/>
      <c r="V24" s="8">
        <f t="shared" si="5"/>
        <v>0</v>
      </c>
      <c r="W24" s="2"/>
      <c r="X24" s="7">
        <f t="shared" si="6"/>
        <v>183.60000000000002</v>
      </c>
      <c r="Y24" s="2"/>
      <c r="Z24" s="8">
        <f t="shared" si="7"/>
        <v>0.49675324675324678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7">
        <v>221.4</v>
      </c>
      <c r="E25" s="2"/>
      <c r="F25" s="8">
        <f t="shared" si="0"/>
        <v>0</v>
      </c>
      <c r="G25" s="2"/>
      <c r="H25" s="7">
        <v>221.4</v>
      </c>
      <c r="I25" s="2"/>
      <c r="J25" s="8">
        <f t="shared" si="1"/>
        <v>0</v>
      </c>
      <c r="K25" s="2"/>
      <c r="L25" s="7">
        <f t="shared" si="2"/>
        <v>0</v>
      </c>
      <c r="M25" s="2"/>
      <c r="N25" s="8">
        <f t="shared" si="3"/>
        <v>0</v>
      </c>
      <c r="O25" s="11"/>
      <c r="P25" s="7">
        <v>442.8</v>
      </c>
      <c r="Q25" s="2"/>
      <c r="R25" s="8">
        <f t="shared" si="4"/>
        <v>0</v>
      </c>
      <c r="S25" s="2"/>
      <c r="T25" s="7">
        <v>442.8</v>
      </c>
      <c r="U25" s="2"/>
      <c r="V25" s="8">
        <f t="shared" si="5"/>
        <v>0</v>
      </c>
      <c r="W25" s="2"/>
      <c r="X25" s="7">
        <f t="shared" si="6"/>
        <v>0</v>
      </c>
      <c r="Y25" s="2"/>
      <c r="Z25" s="8">
        <f t="shared" si="7"/>
        <v>0</v>
      </c>
    </row>
    <row r="26" spans="1:26" s="24" customFormat="1" hidden="1" outlineLevel="2" x14ac:dyDescent="0.3">
      <c r="A26" s="27"/>
      <c r="B26" s="11" t="str">
        <f>CONCATENATE("          ", "6156", " - ", "EMPLOYEE MEALS")</f>
        <v xml:space="preserve">          6156 - EMPLOYEE MEALS</v>
      </c>
      <c r="C26" s="11"/>
      <c r="D26" s="7">
        <v>162.61000000000001</v>
      </c>
      <c r="E26" s="2"/>
      <c r="F26" s="8">
        <f t="shared" si="0"/>
        <v>0</v>
      </c>
      <c r="G26" s="2"/>
      <c r="H26" s="7"/>
      <c r="I26" s="2"/>
      <c r="J26" s="8">
        <f t="shared" si="1"/>
        <v>0</v>
      </c>
      <c r="K26" s="2"/>
      <c r="L26" s="7">
        <f t="shared" si="2"/>
        <v>162.61000000000001</v>
      </c>
      <c r="M26" s="2"/>
      <c r="N26" s="8">
        <f t="shared" si="3"/>
        <v>0</v>
      </c>
      <c r="O26" s="11"/>
      <c r="P26" s="7">
        <v>251.3</v>
      </c>
      <c r="Q26" s="2"/>
      <c r="R26" s="8">
        <f t="shared" si="4"/>
        <v>0</v>
      </c>
      <c r="S26" s="2"/>
      <c r="T26" s="7"/>
      <c r="U26" s="2"/>
      <c r="V26" s="8">
        <f t="shared" si="5"/>
        <v>0</v>
      </c>
      <c r="W26" s="2"/>
      <c r="X26" s="7">
        <f t="shared" si="6"/>
        <v>251.3</v>
      </c>
      <c r="Y26" s="2"/>
      <c r="Z26" s="8">
        <f t="shared" si="7"/>
        <v>0</v>
      </c>
    </row>
    <row r="27" spans="1:26" s="28" customFormat="1" outlineLevel="1" collapsed="1" x14ac:dyDescent="0.3">
      <c r="A27" s="29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5603.4</v>
      </c>
      <c r="E27" s="1"/>
      <c r="F27" s="5">
        <f t="shared" ref="F27:F30" si="8">IF(D$12=0,0,D27/D$12)</f>
        <v>0</v>
      </c>
      <c r="G27" s="1"/>
      <c r="H27" s="1">
        <f>SUM(OSRRefH22_1x_0)</f>
        <v>6405.73</v>
      </c>
      <c r="I27" s="1"/>
      <c r="J27" s="5">
        <f t="shared" ref="J27:J30" si="9">IF(H$12=0,0,H27/H$12)</f>
        <v>0</v>
      </c>
      <c r="K27" s="1"/>
      <c r="L27" s="1">
        <f t="shared" ref="L27:L30" si="10">+D27-H27</f>
        <v>-802.32999999999993</v>
      </c>
      <c r="M27" s="1"/>
      <c r="N27" s="5">
        <f t="shared" ref="N27:N30" si="11">IF(H27=0,0,L27/H27)</f>
        <v>-0.12525192288778952</v>
      </c>
      <c r="O27" s="14"/>
      <c r="P27" s="1">
        <f>SUM(OSRRefP22_1x_0)</f>
        <v>13906.27</v>
      </c>
      <c r="Q27" s="1"/>
      <c r="R27" s="5">
        <f t="shared" ref="R27:R30" si="12">IF(P$12=0,0,P27/P$12)</f>
        <v>0</v>
      </c>
      <c r="S27" s="1"/>
      <c r="T27" s="1">
        <f>SUM(OSRRefT22_1x_0)</f>
        <v>14905.61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-999.34000000000015</v>
      </c>
      <c r="Y27" s="1"/>
      <c r="Z27" s="5">
        <f t="shared" ref="Z27:Z30" si="15">IF(T27=0,0,X27/T27)</f>
        <v>-6.7044555707549039E-2</v>
      </c>
    </row>
    <row r="28" spans="1:26" s="24" customFormat="1" hidden="1" outlineLevel="2" x14ac:dyDescent="0.3">
      <c r="A28" s="27"/>
      <c r="B28" s="11" t="str">
        <f>CONCATENATE("          ", "6004", " - ", "STAFF HOURLY")</f>
        <v xml:space="preserve">          6004 - STAFF HOURLY</v>
      </c>
      <c r="C28" s="11"/>
      <c r="D28" s="7">
        <v>3929.4</v>
      </c>
      <c r="E28" s="2"/>
      <c r="F28" s="8">
        <f t="shared" si="8"/>
        <v>0</v>
      </c>
      <c r="G28" s="2"/>
      <c r="H28" s="7">
        <v>5182.5</v>
      </c>
      <c r="I28" s="2"/>
      <c r="J28" s="8">
        <f t="shared" si="9"/>
        <v>0</v>
      </c>
      <c r="K28" s="2"/>
      <c r="L28" s="7">
        <f t="shared" si="10"/>
        <v>-1253.0999999999999</v>
      </c>
      <c r="M28" s="2"/>
      <c r="N28" s="8">
        <f t="shared" si="11"/>
        <v>-0.24179450072358899</v>
      </c>
      <c r="O28" s="11"/>
      <c r="P28" s="7">
        <v>8803.9500000000007</v>
      </c>
      <c r="Q28" s="2"/>
      <c r="R28" s="8">
        <f t="shared" si="12"/>
        <v>0</v>
      </c>
      <c r="S28" s="2"/>
      <c r="T28" s="7">
        <v>10608.75</v>
      </c>
      <c r="U28" s="2"/>
      <c r="V28" s="8">
        <f t="shared" si="13"/>
        <v>0</v>
      </c>
      <c r="W28" s="2"/>
      <c r="X28" s="7">
        <f t="shared" si="14"/>
        <v>-1804.7999999999993</v>
      </c>
      <c r="Y28" s="2"/>
      <c r="Z28" s="8">
        <f t="shared" si="15"/>
        <v>-0.17012371862849057</v>
      </c>
    </row>
    <row r="29" spans="1:26" s="24" customFormat="1" hidden="1" outlineLevel="2" x14ac:dyDescent="0.3">
      <c r="A29" s="27"/>
      <c r="B29" s="11" t="str">
        <f>CONCATENATE("          ", "6007", " - ", "STUDENT HOURLY")</f>
        <v xml:space="preserve">          6007 - STUDENT HOURLY</v>
      </c>
      <c r="C29" s="11"/>
      <c r="D29" s="7">
        <v>-1657</v>
      </c>
      <c r="E29" s="2"/>
      <c r="F29" s="8">
        <f t="shared" si="8"/>
        <v>0</v>
      </c>
      <c r="G29" s="2"/>
      <c r="H29" s="7">
        <v>-587</v>
      </c>
      <c r="I29" s="2"/>
      <c r="J29" s="8">
        <f t="shared" si="9"/>
        <v>0</v>
      </c>
      <c r="K29" s="2"/>
      <c r="L29" s="7">
        <f t="shared" si="10"/>
        <v>-1070</v>
      </c>
      <c r="M29" s="2"/>
      <c r="N29" s="8">
        <f t="shared" si="11"/>
        <v>1.8228279386712096</v>
      </c>
      <c r="O29" s="11"/>
      <c r="P29" s="7">
        <v>0</v>
      </c>
      <c r="Q29" s="2"/>
      <c r="R29" s="8">
        <f t="shared" si="12"/>
        <v>0</v>
      </c>
      <c r="S29" s="2"/>
      <c r="T29" s="7">
        <v>1258</v>
      </c>
      <c r="U29" s="2"/>
      <c r="V29" s="8">
        <f t="shared" si="13"/>
        <v>0</v>
      </c>
      <c r="W29" s="2"/>
      <c r="X29" s="7">
        <f t="shared" si="14"/>
        <v>-1258</v>
      </c>
      <c r="Y29" s="2"/>
      <c r="Z29" s="8">
        <f t="shared" si="15"/>
        <v>-1</v>
      </c>
    </row>
    <row r="30" spans="1:26" s="24" customFormat="1" hidden="1" outlineLevel="2" x14ac:dyDescent="0.3">
      <c r="A30" s="27"/>
      <c r="B30" s="11" t="str">
        <f>CONCATENATE("          ", "6008", " - ", "STUDENT HOURLY-FICA EXEMPT")</f>
        <v xml:space="preserve">          6008 - STUDENT HOURLY-FICA EXEMPT</v>
      </c>
      <c r="C30" s="11"/>
      <c r="D30" s="7">
        <v>3331</v>
      </c>
      <c r="E30" s="2"/>
      <c r="F30" s="8">
        <f t="shared" si="8"/>
        <v>0</v>
      </c>
      <c r="G30" s="2"/>
      <c r="H30" s="7">
        <v>1810.23</v>
      </c>
      <c r="I30" s="2"/>
      <c r="J30" s="8">
        <f t="shared" si="9"/>
        <v>0</v>
      </c>
      <c r="K30" s="2"/>
      <c r="L30" s="7">
        <f t="shared" si="10"/>
        <v>1520.77</v>
      </c>
      <c r="M30" s="2"/>
      <c r="N30" s="8">
        <f t="shared" si="11"/>
        <v>0.84009766714726852</v>
      </c>
      <c r="O30" s="11"/>
      <c r="P30" s="7">
        <v>5102.32</v>
      </c>
      <c r="Q30" s="2"/>
      <c r="R30" s="8">
        <f t="shared" si="12"/>
        <v>0</v>
      </c>
      <c r="S30" s="2"/>
      <c r="T30" s="7">
        <v>3038.86</v>
      </c>
      <c r="U30" s="2"/>
      <c r="V30" s="8">
        <f t="shared" si="13"/>
        <v>0</v>
      </c>
      <c r="W30" s="2"/>
      <c r="X30" s="7">
        <f t="shared" si="14"/>
        <v>2063.4599999999996</v>
      </c>
      <c r="Y30" s="2"/>
      <c r="Z30" s="8">
        <f t="shared" si="15"/>
        <v>0.67902437098122304</v>
      </c>
    </row>
    <row r="31" spans="1:26" s="28" customFormat="1" outlineLevel="1" collapsed="1" x14ac:dyDescent="0.3">
      <c r="A31" s="29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173.21</v>
      </c>
      <c r="E31" s="1"/>
      <c r="F31" s="5">
        <f t="shared" ref="F31:F40" si="16">IF(D$12=0,0,D31/D$12)</f>
        <v>0</v>
      </c>
      <c r="G31" s="1"/>
      <c r="H31" s="1">
        <f>SUM(OSRRefH22_2x_0)</f>
        <v>173.21</v>
      </c>
      <c r="I31" s="1"/>
      <c r="J31" s="5">
        <f t="shared" ref="J31:J40" si="17">IF(H$12=0,0,H31/H$12)</f>
        <v>0</v>
      </c>
      <c r="K31" s="1"/>
      <c r="L31" s="1">
        <f t="shared" ref="L31:L40" si="18">+D31-H31</f>
        <v>0</v>
      </c>
      <c r="M31" s="1"/>
      <c r="N31" s="5">
        <f t="shared" ref="N31:N40" si="19">IF(H31=0,0,L31/H31)</f>
        <v>0</v>
      </c>
      <c r="O31" s="14"/>
      <c r="P31" s="1">
        <f>SUM(OSRRefP22_2x_0)</f>
        <v>346.42</v>
      </c>
      <c r="Q31" s="1"/>
      <c r="R31" s="5">
        <f t="shared" ref="R31:R40" si="20">IF(P$12=0,0,P31/P$12)</f>
        <v>0</v>
      </c>
      <c r="S31" s="1"/>
      <c r="T31" s="1">
        <f>SUM(OSRRefT22_2x_0)</f>
        <v>173.21</v>
      </c>
      <c r="U31" s="1"/>
      <c r="V31" s="5">
        <f t="shared" ref="V31:V40" si="21">IF(T$12=0,0,T31/T$12)</f>
        <v>0</v>
      </c>
      <c r="W31" s="1"/>
      <c r="X31" s="1">
        <f t="shared" ref="X31:X40" si="22">+P31-T31</f>
        <v>173.21</v>
      </c>
      <c r="Y31" s="1"/>
      <c r="Z31" s="5">
        <f t="shared" ref="Z31:Z40" si="23">IF(T31=0,0,X31/T31)</f>
        <v>1</v>
      </c>
    </row>
    <row r="32" spans="1:26" s="24" customFormat="1" hidden="1" outlineLevel="2" x14ac:dyDescent="0.3">
      <c r="A32" s="27"/>
      <c r="B32" s="11" t="str">
        <f>CONCATENATE("          ", "6362", " - ", "ADVERTISING EXPENSE")</f>
        <v xml:space="preserve">          6362 - ADVERTISING EXPENSE</v>
      </c>
      <c r="C32" s="11"/>
      <c r="D32" s="7">
        <v>173.21</v>
      </c>
      <c r="E32" s="2"/>
      <c r="F32" s="8">
        <f t="shared" si="16"/>
        <v>0</v>
      </c>
      <c r="G32" s="2"/>
      <c r="H32" s="7">
        <v>173.21</v>
      </c>
      <c r="I32" s="2"/>
      <c r="J32" s="8">
        <f t="shared" si="17"/>
        <v>0</v>
      </c>
      <c r="K32" s="2"/>
      <c r="L32" s="7">
        <f t="shared" si="18"/>
        <v>0</v>
      </c>
      <c r="M32" s="2"/>
      <c r="N32" s="8">
        <f t="shared" si="19"/>
        <v>0</v>
      </c>
      <c r="O32" s="11"/>
      <c r="P32" s="7">
        <v>346.42</v>
      </c>
      <c r="Q32" s="2"/>
      <c r="R32" s="8">
        <f t="shared" si="20"/>
        <v>0</v>
      </c>
      <c r="S32" s="2"/>
      <c r="T32" s="7">
        <v>173.21</v>
      </c>
      <c r="U32" s="2"/>
      <c r="V32" s="8">
        <f t="shared" si="21"/>
        <v>0</v>
      </c>
      <c r="W32" s="2"/>
      <c r="X32" s="7">
        <f t="shared" si="22"/>
        <v>173.21</v>
      </c>
      <c r="Y32" s="2"/>
      <c r="Z32" s="8">
        <f t="shared" si="23"/>
        <v>1</v>
      </c>
    </row>
    <row r="33" spans="1:26" s="28" customFormat="1" outlineLevel="1" collapsed="1" x14ac:dyDescent="0.3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542.54</v>
      </c>
      <c r="U33" s="1"/>
      <c r="V33" s="5">
        <f t="shared" si="21"/>
        <v>0</v>
      </c>
      <c r="W33" s="1"/>
      <c r="X33" s="1">
        <f t="shared" si="22"/>
        <v>-542.54</v>
      </c>
      <c r="Y33" s="1"/>
      <c r="Z33" s="5">
        <f t="shared" si="23"/>
        <v>-1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7"/>
      <c r="E34" s="2"/>
      <c r="F34" s="8">
        <f t="shared" si="16"/>
        <v>0</v>
      </c>
      <c r="G34" s="2"/>
      <c r="H34" s="7">
        <v>271.27</v>
      </c>
      <c r="I34" s="2"/>
      <c r="J34" s="8">
        <f t="shared" si="17"/>
        <v>0</v>
      </c>
      <c r="K34" s="2"/>
      <c r="L34" s="7">
        <f t="shared" si="18"/>
        <v>-271.27</v>
      </c>
      <c r="M34" s="2"/>
      <c r="N34" s="8">
        <f t="shared" si="19"/>
        <v>-1</v>
      </c>
      <c r="O34" s="11"/>
      <c r="P34" s="7"/>
      <c r="Q34" s="2"/>
      <c r="R34" s="8">
        <f t="shared" si="20"/>
        <v>0</v>
      </c>
      <c r="S34" s="2"/>
      <c r="T34" s="7">
        <v>542.54</v>
      </c>
      <c r="U34" s="2"/>
      <c r="V34" s="8">
        <f t="shared" si="21"/>
        <v>0</v>
      </c>
      <c r="W34" s="2"/>
      <c r="X34" s="7">
        <f t="shared" si="22"/>
        <v>-542.54</v>
      </c>
      <c r="Y34" s="2"/>
      <c r="Z34" s="8">
        <f t="shared" si="23"/>
        <v>-1</v>
      </c>
    </row>
    <row r="35" spans="1:26" s="28" customFormat="1" outlineLevel="1" collapsed="1" x14ac:dyDescent="0.3">
      <c r="A35" s="29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SUM(OSRRefD22_4x_0)</f>
        <v>63.36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63.36</v>
      </c>
      <c r="M35" s="1"/>
      <c r="N35" s="5">
        <f t="shared" si="19"/>
        <v>0</v>
      </c>
      <c r="O35" s="14"/>
      <c r="P35" s="1">
        <f>SUM(OSRRefP22_4x_0)</f>
        <v>63.36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63.36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1" t="str">
        <f>CONCATENATE("          ", "6375", " - ", "OUTSIDE REPAIRS &amp; MAINTENANCE")</f>
        <v xml:space="preserve">          6375 - OUTSIDE REPAIRS &amp; MAINTENANCE</v>
      </c>
      <c r="C36" s="11"/>
      <c r="D36" s="7">
        <v>63.36</v>
      </c>
      <c r="E36" s="2"/>
      <c r="F36" s="8">
        <f t="shared" si="16"/>
        <v>0</v>
      </c>
      <c r="G36" s="2"/>
      <c r="H36" s="7"/>
      <c r="I36" s="2"/>
      <c r="J36" s="8">
        <f t="shared" si="17"/>
        <v>0</v>
      </c>
      <c r="K36" s="2"/>
      <c r="L36" s="7">
        <f t="shared" si="18"/>
        <v>63.36</v>
      </c>
      <c r="M36" s="2"/>
      <c r="N36" s="8">
        <f t="shared" si="19"/>
        <v>0</v>
      </c>
      <c r="O36" s="11"/>
      <c r="P36" s="7">
        <v>63.36</v>
      </c>
      <c r="Q36" s="2"/>
      <c r="R36" s="8">
        <f t="shared" si="20"/>
        <v>0</v>
      </c>
      <c r="S36" s="2"/>
      <c r="T36" s="7"/>
      <c r="U36" s="2"/>
      <c r="V36" s="8">
        <f t="shared" si="21"/>
        <v>0</v>
      </c>
      <c r="W36" s="2"/>
      <c r="X36" s="7">
        <f t="shared" si="22"/>
        <v>63.36</v>
      </c>
      <c r="Y36" s="2"/>
      <c r="Z36" s="8">
        <f t="shared" si="23"/>
        <v>0</v>
      </c>
    </row>
    <row r="37" spans="1:26" s="28" customFormat="1" outlineLevel="1" collapsed="1" x14ac:dyDescent="0.3">
      <c r="A37" s="29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4.5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4.5</v>
      </c>
      <c r="M37" s="1"/>
      <c r="N37" s="5">
        <f t="shared" si="19"/>
        <v>0</v>
      </c>
      <c r="O37" s="14"/>
      <c r="P37" s="1">
        <f>SUM(OSRRefP22_5x_0)</f>
        <v>4.5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4.5</v>
      </c>
      <c r="Y37" s="1"/>
      <c r="Z37" s="5">
        <f t="shared" si="23"/>
        <v>0</v>
      </c>
    </row>
    <row r="38" spans="1:26" s="24" customFormat="1" hidden="1" outlineLevel="2" x14ac:dyDescent="0.3">
      <c r="A38" s="27"/>
      <c r="B38" s="11" t="str">
        <f>CONCATENATE("          ", "6241", " - ", "OFFICE EXPENSE")</f>
        <v xml:space="preserve">          6241 - OFFICE EXPENSE</v>
      </c>
      <c r="C38" s="11"/>
      <c r="D38" s="7">
        <v>4.5</v>
      </c>
      <c r="E38" s="2"/>
      <c r="F38" s="8">
        <f t="shared" si="16"/>
        <v>0</v>
      </c>
      <c r="G38" s="2"/>
      <c r="H38" s="7"/>
      <c r="I38" s="2"/>
      <c r="J38" s="8">
        <f t="shared" si="17"/>
        <v>0</v>
      </c>
      <c r="K38" s="2"/>
      <c r="L38" s="7">
        <f t="shared" si="18"/>
        <v>4.5</v>
      </c>
      <c r="M38" s="2"/>
      <c r="N38" s="8">
        <f t="shared" si="19"/>
        <v>0</v>
      </c>
      <c r="O38" s="11"/>
      <c r="P38" s="7">
        <v>4.5</v>
      </c>
      <c r="Q38" s="2"/>
      <c r="R38" s="8">
        <f t="shared" si="20"/>
        <v>0</v>
      </c>
      <c r="S38" s="2"/>
      <c r="T38" s="7"/>
      <c r="U38" s="2"/>
      <c r="V38" s="8">
        <f t="shared" si="21"/>
        <v>0</v>
      </c>
      <c r="W38" s="2"/>
      <c r="X38" s="7">
        <f t="shared" si="22"/>
        <v>4.5</v>
      </c>
      <c r="Y38" s="2"/>
      <c r="Z38" s="8">
        <f t="shared" si="23"/>
        <v>0</v>
      </c>
    </row>
    <row r="39" spans="1:26" s="28" customFormat="1" outlineLevel="1" collapsed="1" x14ac:dyDescent="0.3">
      <c r="A39" s="29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36</v>
      </c>
      <c r="E39" s="1"/>
      <c r="F39" s="5">
        <f t="shared" si="16"/>
        <v>0</v>
      </c>
      <c r="G39" s="1"/>
      <c r="H39" s="1">
        <f>SUM(OSRRefH22_6x_0)</f>
        <v>36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144</v>
      </c>
      <c r="Q39" s="1"/>
      <c r="R39" s="5">
        <f t="shared" si="20"/>
        <v>0</v>
      </c>
      <c r="S39" s="1"/>
      <c r="T39" s="1">
        <f>SUM(OSRRefT22_6x_0)</f>
        <v>72</v>
      </c>
      <c r="U39" s="1"/>
      <c r="V39" s="5">
        <f t="shared" si="21"/>
        <v>0</v>
      </c>
      <c r="W39" s="1"/>
      <c r="X39" s="1">
        <f t="shared" si="22"/>
        <v>72</v>
      </c>
      <c r="Y39" s="1"/>
      <c r="Z39" s="5">
        <f t="shared" si="23"/>
        <v>1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7">
        <v>36</v>
      </c>
      <c r="E40" s="2"/>
      <c r="F40" s="8">
        <f t="shared" si="16"/>
        <v>0</v>
      </c>
      <c r="G40" s="2"/>
      <c r="H40" s="7">
        <v>36</v>
      </c>
      <c r="I40" s="2"/>
      <c r="J40" s="8">
        <f t="shared" si="17"/>
        <v>0</v>
      </c>
      <c r="K40" s="2"/>
      <c r="L40" s="7">
        <f t="shared" si="18"/>
        <v>0</v>
      </c>
      <c r="M40" s="2"/>
      <c r="N40" s="8">
        <f t="shared" si="19"/>
        <v>0</v>
      </c>
      <c r="O40" s="11"/>
      <c r="P40" s="7">
        <v>144</v>
      </c>
      <c r="Q40" s="2"/>
      <c r="R40" s="8">
        <f t="shared" si="20"/>
        <v>0</v>
      </c>
      <c r="S40" s="2"/>
      <c r="T40" s="7">
        <v>72</v>
      </c>
      <c r="U40" s="2"/>
      <c r="V40" s="8">
        <f t="shared" si="21"/>
        <v>0</v>
      </c>
      <c r="W40" s="2"/>
      <c r="X40" s="7">
        <f t="shared" si="22"/>
        <v>72</v>
      </c>
      <c r="Y40" s="2"/>
      <c r="Z40" s="8">
        <f t="shared" si="23"/>
        <v>1</v>
      </c>
    </row>
    <row r="41" spans="1:26" s="61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O43" s="10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s="23" customFormat="1" x14ac:dyDescent="0.3">
      <c r="A44" s="10"/>
      <c r="B44" s="25" t="s">
        <v>276</v>
      </c>
      <c r="C44" s="25"/>
      <c r="D44" s="20">
        <f>+D16-D18+D42</f>
        <v>-7822.71</v>
      </c>
      <c r="E44" s="13"/>
      <c r="F44" s="22">
        <f>IF(D$12=0,0,D44/D$12)</f>
        <v>0</v>
      </c>
      <c r="G44" s="13"/>
      <c r="H44" s="20">
        <f>+H16-H18+H42</f>
        <v>-8415.8599999999988</v>
      </c>
      <c r="I44" s="13"/>
      <c r="J44" s="22">
        <f>IF(H$12=0,0,H44/H$12)</f>
        <v>0</v>
      </c>
      <c r="K44" s="15"/>
      <c r="L44" s="20">
        <f>+D44-H44</f>
        <v>593.14999999999873</v>
      </c>
      <c r="M44" s="15"/>
      <c r="N44" s="22">
        <f>IF(H44=0,0,L44/H44)</f>
        <v>-7.0480022243715884E-2</v>
      </c>
      <c r="O44" s="26"/>
      <c r="P44" s="20">
        <f>+P16-P18+P42</f>
        <v>-18293.41</v>
      </c>
      <c r="Q44" s="13"/>
      <c r="R44" s="22">
        <f>IF(P$12=0,0,P44/P$12)</f>
        <v>0</v>
      </c>
      <c r="S44" s="13"/>
      <c r="T44" s="20">
        <f>+T16-T18+T42</f>
        <v>-18771.919999999998</v>
      </c>
      <c r="U44" s="13"/>
      <c r="V44" s="22">
        <f>IF(T$12=0,0,T44/T$12)</f>
        <v>0</v>
      </c>
      <c r="W44" s="15"/>
      <c r="X44" s="20">
        <f>+P44-T44</f>
        <v>478.5099999999984</v>
      </c>
      <c r="Y44" s="15"/>
      <c r="Z44" s="22">
        <f>IF(T44=0,0,X44/T44)</f>
        <v>-2.5490732967112496E-2</v>
      </c>
    </row>
    <row r="45" spans="1:26" x14ac:dyDescent="0.3">
      <c r="A45" s="9"/>
      <c r="B45" s="10"/>
      <c r="C45" s="9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6"/>
      <c r="G47" s="3"/>
      <c r="H47" s="3"/>
      <c r="I47" s="3"/>
      <c r="J47" s="6"/>
      <c r="K47" s="3"/>
      <c r="L47" s="3"/>
      <c r="M47" s="3"/>
      <c r="N47" s="6"/>
      <c r="O47" s="10"/>
      <c r="P47" s="3"/>
      <c r="Q47" s="3"/>
      <c r="R47" s="6"/>
      <c r="S47" s="3"/>
      <c r="T47" s="3"/>
      <c r="U47" s="3"/>
      <c r="V47" s="6"/>
      <c r="W47" s="3"/>
      <c r="X47" s="3"/>
      <c r="Y47" s="3"/>
      <c r="Z47" s="6"/>
    </row>
    <row r="48" spans="1:26" s="23" customFormat="1" ht="15" thickBot="1" x14ac:dyDescent="0.35">
      <c r="A48" s="10"/>
      <c r="B48" s="25" t="s">
        <v>125</v>
      </c>
      <c r="C48" s="25"/>
      <c r="D48" s="33">
        <f>+D44-D46</f>
        <v>-7822.71</v>
      </c>
      <c r="E48" s="13"/>
      <c r="F48" s="36">
        <f>IF(D$12=0,0,D48/D$12)</f>
        <v>0</v>
      </c>
      <c r="G48" s="13"/>
      <c r="H48" s="33">
        <f>+H44-H46</f>
        <v>-8415.8599999999988</v>
      </c>
      <c r="I48" s="13"/>
      <c r="J48" s="36">
        <f>IF(H$12=0,0,H48/H$12)</f>
        <v>0</v>
      </c>
      <c r="K48" s="15"/>
      <c r="L48" s="33">
        <f>D48-H48</f>
        <v>593.14999999999873</v>
      </c>
      <c r="M48" s="15"/>
      <c r="N48" s="36">
        <f>IF(H48=0,0,L48/H48)</f>
        <v>-7.0480022243715884E-2</v>
      </c>
      <c r="O48" s="26"/>
      <c r="P48" s="33">
        <f>+P44-P46</f>
        <v>-18293.41</v>
      </c>
      <c r="Q48" s="13"/>
      <c r="R48" s="36">
        <f>IF(P$12=0,0,P48/P$12)</f>
        <v>0</v>
      </c>
      <c r="S48" s="13"/>
      <c r="T48" s="33">
        <f>+T44-T46</f>
        <v>-18771.919999999998</v>
      </c>
      <c r="U48" s="13"/>
      <c r="V48" s="36">
        <f>IF(T$12=0,0,T48/T$12)</f>
        <v>0</v>
      </c>
      <c r="W48" s="15"/>
      <c r="X48" s="33">
        <f>P48-T48</f>
        <v>478.5099999999984</v>
      </c>
      <c r="Y48" s="15"/>
      <c r="Z48" s="36">
        <f>IF(T48=0,0,X48/T48)</f>
        <v>-2.5490732967112496E-2</v>
      </c>
    </row>
    <row r="49" spans="1:26" ht="15" thickTop="1" x14ac:dyDescent="0.3">
      <c r="A49" s="9"/>
      <c r="B49" s="9"/>
      <c r="C49" s="9"/>
      <c r="D49" s="3"/>
      <c r="E49" s="3"/>
      <c r="F49" s="6"/>
      <c r="G49" s="3"/>
      <c r="H49" s="3"/>
      <c r="I49" s="3"/>
      <c r="J49" s="6"/>
      <c r="K49" s="3"/>
      <c r="L49" s="3"/>
      <c r="M49" s="3"/>
      <c r="N49" s="6"/>
      <c r="P49" s="3"/>
      <c r="Q49" s="3"/>
      <c r="R49" s="6"/>
      <c r="S49" s="3"/>
      <c r="T49" s="3"/>
      <c r="U49" s="3"/>
      <c r="V49" s="6"/>
      <c r="W49" s="3"/>
      <c r="X49" s="3"/>
      <c r="Y49" s="3"/>
      <c r="Z49" s="6"/>
    </row>
    <row r="50" spans="1:26" x14ac:dyDescent="0.3">
      <c r="A50" s="9"/>
      <c r="B50" s="9"/>
      <c r="C50" s="9"/>
      <c r="D50" s="3"/>
      <c r="E50" s="3"/>
      <c r="F50" s="6"/>
      <c r="G50" s="3"/>
      <c r="H50" s="3"/>
      <c r="I50" s="3"/>
      <c r="J50" s="6"/>
      <c r="K50" s="3"/>
      <c r="L50" s="3"/>
      <c r="M50" s="3"/>
      <c r="N50" s="6"/>
      <c r="P50" s="3"/>
      <c r="Q50" s="3"/>
      <c r="R50" s="6"/>
      <c r="S50" s="3"/>
      <c r="T50" s="3"/>
      <c r="U50" s="3"/>
      <c r="V50" s="6"/>
      <c r="W50" s="3"/>
      <c r="X50" s="3"/>
      <c r="Y50" s="3"/>
      <c r="Z50" s="6"/>
    </row>
    <row r="51" spans="1:26" s="23" customFormat="1" ht="15" thickBot="1" x14ac:dyDescent="0.35">
      <c r="A51" s="10"/>
      <c r="B51" s="25" t="s">
        <v>293</v>
      </c>
      <c r="C51" s="25"/>
      <c r="D51" s="30">
        <f>SUM(D48:D50)</f>
        <v>-7822.71</v>
      </c>
      <c r="E51" s="13"/>
      <c r="F51" s="31">
        <f>IF(D$12=0,0,D51/D$12)</f>
        <v>0</v>
      </c>
      <c r="G51" s="13"/>
      <c r="H51" s="30">
        <f>SUM(H48:H50)</f>
        <v>-8415.8599999999988</v>
      </c>
      <c r="I51" s="13"/>
      <c r="J51" s="31">
        <f>IF(H$12=0,0,H51/H$12)</f>
        <v>0</v>
      </c>
      <c r="K51" s="15"/>
      <c r="L51" s="30">
        <f>+D51-H51</f>
        <v>593.14999999999873</v>
      </c>
      <c r="M51" s="15"/>
      <c r="N51" s="31">
        <f>IF(H51=0,0,L51/H51)</f>
        <v>-7.0480022243715884E-2</v>
      </c>
      <c r="O51" s="26"/>
      <c r="P51" s="30">
        <f>SUM(P48:P50)</f>
        <v>-18293.41</v>
      </c>
      <c r="Q51" s="13"/>
      <c r="R51" s="31">
        <f>IF(P$12=0,0,P51/P$12)</f>
        <v>0</v>
      </c>
      <c r="S51" s="13"/>
      <c r="T51" s="30">
        <f>SUM(T48:T50)</f>
        <v>-18771.919999999998</v>
      </c>
      <c r="U51" s="13"/>
      <c r="V51" s="31">
        <f>IF(T$12=0,0,T51/T$12)</f>
        <v>0</v>
      </c>
      <c r="W51" s="15"/>
      <c r="X51" s="30">
        <f>+P51-T51</f>
        <v>478.5099999999984</v>
      </c>
      <c r="Y51" s="15"/>
      <c r="Z51" s="31">
        <f>IF(T51=0,0,X51/T51)</f>
        <v>-2.5490732967112496E-2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59">
        <v>44470.840542939812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A54" s="9"/>
      <c r="B54" s="58" t="s">
        <v>56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2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106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1519459.5899999999</v>
      </c>
      <c r="E12" s="4"/>
      <c r="F12" s="12"/>
      <c r="G12" s="4"/>
      <c r="H12" s="4">
        <f>SUM(OSRRefH13x_0)</f>
        <v>1597913.1100000003</v>
      </c>
      <c r="I12" s="4"/>
      <c r="J12" s="12"/>
      <c r="K12" s="4"/>
      <c r="L12" s="4">
        <f t="shared" ref="L12:L73" si="0">+D12-H12</f>
        <v>-78453.520000000484</v>
      </c>
      <c r="M12" s="4"/>
      <c r="N12" s="12">
        <f t="shared" ref="N12:N73" si="1">IF(H12=0,0,L12/H12)</f>
        <v>-4.909748816066755E-2</v>
      </c>
      <c r="O12" s="10"/>
      <c r="P12" s="4">
        <f>SUM(OSRRefP13x_0)</f>
        <v>1739957.81</v>
      </c>
      <c r="Q12" s="4"/>
      <c r="R12" s="12"/>
      <c r="S12" s="4"/>
      <c r="T12" s="4">
        <f>SUM(OSRRefT13x_0)</f>
        <v>1825580.3600000003</v>
      </c>
      <c r="U12" s="4"/>
      <c r="V12" s="12"/>
      <c r="W12" s="4"/>
      <c r="X12" s="4">
        <f t="shared" ref="X12:X73" si="2">+P12-T12</f>
        <v>-85622.550000000279</v>
      </c>
      <c r="Y12" s="4"/>
      <c r="Z12" s="12">
        <f t="shared" ref="Z12:Z73" si="3">IF(T12=0,0,X12/T12)</f>
        <v>-4.6901550803274565E-2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--1220653.3</f>
        <v>1220653.3</v>
      </c>
      <c r="E13" s="2"/>
      <c r="F13" s="19"/>
      <c r="G13" s="2"/>
      <c r="H13" s="2">
        <f>-17230.39</f>
        <v>-17230.39</v>
      </c>
      <c r="I13" s="2"/>
      <c r="J13" s="19"/>
      <c r="K13" s="2"/>
      <c r="L13" s="2">
        <f t="shared" si="0"/>
        <v>1237883.69</v>
      </c>
      <c r="M13" s="2"/>
      <c r="N13" s="19">
        <f t="shared" si="1"/>
        <v>-71.843045340238959</v>
      </c>
      <c r="O13" s="11"/>
      <c r="P13" s="2">
        <f>--1408701.63</f>
        <v>1408701.63</v>
      </c>
      <c r="Q13" s="2"/>
      <c r="R13" s="19"/>
      <c r="S13" s="2"/>
      <c r="T13" s="2">
        <f>-27953.85</f>
        <v>-27953.85</v>
      </c>
      <c r="U13" s="2"/>
      <c r="V13" s="19"/>
      <c r="W13" s="2"/>
      <c r="X13" s="2">
        <f t="shared" si="2"/>
        <v>1436655.48</v>
      </c>
      <c r="Y13" s="2"/>
      <c r="Z13" s="19">
        <f t="shared" si="3"/>
        <v>-51.393832334365392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--572249.47</f>
        <v>572249.47</v>
      </c>
      <c r="I14" s="2"/>
      <c r="J14" s="19"/>
      <c r="K14" s="2"/>
      <c r="L14" s="2">
        <f t="shared" si="0"/>
        <v>-572249.47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--584197.32</f>
        <v>584197.31999999995</v>
      </c>
      <c r="U14" s="2"/>
      <c r="V14" s="19"/>
      <c r="W14" s="2"/>
      <c r="X14" s="2">
        <f t="shared" si="2"/>
        <v>-584197.31999999995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--265582.82</f>
        <v>265582.82</v>
      </c>
      <c r="I15" s="2"/>
      <c r="J15" s="19"/>
      <c r="K15" s="2"/>
      <c r="L15" s="2">
        <f t="shared" si="0"/>
        <v>-265582.82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--278612.16</f>
        <v>278612.15999999997</v>
      </c>
      <c r="U15" s="2"/>
      <c r="V15" s="19"/>
      <c r="W15" s="2"/>
      <c r="X15" s="2">
        <f t="shared" si="2"/>
        <v>-278612.15999999997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>
        <f>--236.56</f>
        <v>236.56</v>
      </c>
      <c r="U21" s="2"/>
      <c r="V21" s="19"/>
      <c r="W21" s="2"/>
      <c r="X21" s="2">
        <f t="shared" si="2"/>
        <v>-236.56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--20247.89</f>
        <v>20247.89</v>
      </c>
      <c r="I22" s="2"/>
      <c r="J22" s="19"/>
      <c r="K22" s="2"/>
      <c r="L22" s="2">
        <f t="shared" si="0"/>
        <v>-20247.89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--21901.06</f>
        <v>21901.06</v>
      </c>
      <c r="U22" s="2"/>
      <c r="V22" s="19"/>
      <c r="W22" s="2"/>
      <c r="X22" s="2">
        <f t="shared" si="2"/>
        <v>-21901.06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--9671.25</f>
        <v>9671.25</v>
      </c>
      <c r="I23" s="2"/>
      <c r="J23" s="19"/>
      <c r="K23" s="2"/>
      <c r="L23" s="2">
        <f t="shared" si="0"/>
        <v>-9671.25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--9691.1</f>
        <v>9691.1</v>
      </c>
      <c r="U23" s="2"/>
      <c r="V23" s="19"/>
      <c r="W23" s="2"/>
      <c r="X23" s="2">
        <f t="shared" si="2"/>
        <v>-9691.1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--532.51</f>
        <v>532.51</v>
      </c>
      <c r="I24" s="2"/>
      <c r="J24" s="19"/>
      <c r="K24" s="2"/>
      <c r="L24" s="2">
        <f t="shared" si="0"/>
        <v>-532.51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--552.26</f>
        <v>552.26</v>
      </c>
      <c r="U24" s="2"/>
      <c r="V24" s="19"/>
      <c r="W24" s="2"/>
      <c r="X24" s="2">
        <f t="shared" si="2"/>
        <v>-552.26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>--88.2</f>
        <v>88.2</v>
      </c>
      <c r="I25" s="2"/>
      <c r="J25" s="19"/>
      <c r="K25" s="2"/>
      <c r="L25" s="2">
        <f t="shared" si="0"/>
        <v>-88.2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--88.2</f>
        <v>88.2</v>
      </c>
      <c r="U25" s="2"/>
      <c r="V25" s="19"/>
      <c r="W25" s="2"/>
      <c r="X25" s="2">
        <f t="shared" si="2"/>
        <v>-88.2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--177286.09</f>
        <v>177286.09</v>
      </c>
      <c r="I27" s="2"/>
      <c r="J27" s="19"/>
      <c r="K27" s="2"/>
      <c r="L27" s="2">
        <f t="shared" si="0"/>
        <v>-177286.09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--249578.35</f>
        <v>249578.35</v>
      </c>
      <c r="U27" s="2"/>
      <c r="V27" s="19"/>
      <c r="W27" s="2"/>
      <c r="X27" s="2">
        <f t="shared" si="2"/>
        <v>-249578.35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--82120.65</f>
        <v>82120.649999999994</v>
      </c>
      <c r="I28" s="2"/>
      <c r="J28" s="19"/>
      <c r="K28" s="2"/>
      <c r="L28" s="2">
        <f t="shared" si="0"/>
        <v>-82120.649999999994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--103309.56</f>
        <v>103309.56</v>
      </c>
      <c r="U28" s="2"/>
      <c r="V28" s="19"/>
      <c r="W28" s="2"/>
      <c r="X28" s="2">
        <f t="shared" si="2"/>
        <v>-103309.56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--30421.14</f>
        <v>30421.14</v>
      </c>
      <c r="I29" s="2"/>
      <c r="J29" s="19"/>
      <c r="K29" s="2"/>
      <c r="L29" s="2">
        <f t="shared" si="0"/>
        <v>-30421.14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--39925.04</f>
        <v>39925.040000000001</v>
      </c>
      <c r="U29" s="2"/>
      <c r="V29" s="19"/>
      <c r="W29" s="2"/>
      <c r="X29" s="2">
        <f t="shared" si="2"/>
        <v>-39925.040000000001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--6768.27</f>
        <v>6768.27</v>
      </c>
      <c r="I30" s="2"/>
      <c r="J30" s="19"/>
      <c r="K30" s="2"/>
      <c r="L30" s="2">
        <f t="shared" si="0"/>
        <v>-6768.27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--6985.63</f>
        <v>6985.63</v>
      </c>
      <c r="U30" s="2"/>
      <c r="V30" s="19"/>
      <c r="W30" s="2"/>
      <c r="X30" s="2">
        <f t="shared" si="2"/>
        <v>-6985.63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--6568.52</f>
        <v>6568.52</v>
      </c>
      <c r="I31" s="2"/>
      <c r="J31" s="19"/>
      <c r="K31" s="2"/>
      <c r="L31" s="2">
        <f t="shared" si="0"/>
        <v>-6568.52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--8369.2</f>
        <v>8369.2000000000007</v>
      </c>
      <c r="U31" s="2"/>
      <c r="V31" s="19"/>
      <c r="W31" s="2"/>
      <c r="X31" s="2">
        <f t="shared" si="2"/>
        <v>-8369.2000000000007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--46004.35</f>
        <v>46004.35</v>
      </c>
      <c r="I32" s="2"/>
      <c r="J32" s="19"/>
      <c r="K32" s="2"/>
      <c r="L32" s="2">
        <f t="shared" si="0"/>
        <v>-46004.35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--89431.08</f>
        <v>89431.08</v>
      </c>
      <c r="U32" s="2"/>
      <c r="V32" s="19"/>
      <c r="W32" s="2"/>
      <c r="X32" s="2">
        <f t="shared" si="2"/>
        <v>-89431.08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"4100", " - ", "NON-TAXABLE SALES")</f>
        <v xml:space="preserve">          4100 - NON-TAXABLE SALES</v>
      </c>
      <c r="C33" s="11"/>
      <c r="D33" s="2">
        <f>--332101.69</f>
        <v>332101.69</v>
      </c>
      <c r="E33" s="2"/>
      <c r="F33" s="19"/>
      <c r="G33" s="2"/>
      <c r="H33" s="2">
        <f>--150360.03</f>
        <v>150360.03</v>
      </c>
      <c r="I33" s="2"/>
      <c r="J33" s="19"/>
      <c r="K33" s="2"/>
      <c r="L33" s="2">
        <f t="shared" si="0"/>
        <v>181741.66</v>
      </c>
      <c r="M33" s="2"/>
      <c r="N33" s="19">
        <f t="shared" si="1"/>
        <v>1.2087099211140089</v>
      </c>
      <c r="O33" s="11"/>
      <c r="P33" s="2">
        <f>--371200.23</f>
        <v>371200.23</v>
      </c>
      <c r="Q33" s="2"/>
      <c r="R33" s="19"/>
      <c r="S33" s="2"/>
      <c r="T33" s="2">
        <f>--153398.33</f>
        <v>153398.32999999999</v>
      </c>
      <c r="U33" s="2"/>
      <c r="V33" s="19"/>
      <c r="W33" s="2"/>
      <c r="X33" s="2">
        <f t="shared" si="2"/>
        <v>217801.9</v>
      </c>
      <c r="Y33" s="2"/>
      <c r="Z33" s="19">
        <f t="shared" si="3"/>
        <v>1.4198453138309917</v>
      </c>
    </row>
    <row r="34" spans="1:26" s="24" customFormat="1" hidden="1" outlineLevel="1" x14ac:dyDescent="0.3">
      <c r="A34" s="44"/>
      <c r="B34" s="11" t="str">
        <f>CONCATENATE("          ", "4101", " - ", "NON-TAXABLE SALES-NEW TEXT")</f>
        <v xml:space="preserve">          4101 - NON-TAXABLE SALES-NEW TEXT</v>
      </c>
      <c r="C34" s="11"/>
      <c r="D34" s="2">
        <f t="shared" ref="D34:D45" si="6">0</f>
        <v>0</v>
      </c>
      <c r="E34" s="2"/>
      <c r="F34" s="19"/>
      <c r="G34" s="2"/>
      <c r="H34" s="2">
        <f>--41238.82</f>
        <v>41238.82</v>
      </c>
      <c r="I34" s="2"/>
      <c r="J34" s="19"/>
      <c r="K34" s="2"/>
      <c r="L34" s="2">
        <f t="shared" si="0"/>
        <v>-41238.82</v>
      </c>
      <c r="M34" s="2"/>
      <c r="N34" s="19">
        <f t="shared" si="1"/>
        <v>-1</v>
      </c>
      <c r="O34" s="11"/>
      <c r="P34" s="2">
        <f t="shared" ref="P34:P45" si="7">0</f>
        <v>0</v>
      </c>
      <c r="Q34" s="2"/>
      <c r="R34" s="19"/>
      <c r="S34" s="2"/>
      <c r="T34" s="2">
        <f>--51580.68</f>
        <v>51580.68</v>
      </c>
      <c r="U34" s="2"/>
      <c r="V34" s="19"/>
      <c r="W34" s="2"/>
      <c r="X34" s="2">
        <f t="shared" si="2"/>
        <v>-51580.68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"4102", " - ", "NON-TAXABLE SALES-USED TEXT")</f>
        <v xml:space="preserve">          4102 - NON-TAXABLE SALES-USED TEXT</v>
      </c>
      <c r="C35" s="11"/>
      <c r="D35" s="2">
        <f t="shared" si="6"/>
        <v>0</v>
      </c>
      <c r="E35" s="2"/>
      <c r="F35" s="19"/>
      <c r="G35" s="2"/>
      <c r="H35" s="2">
        <f>--17373.3</f>
        <v>17373.3</v>
      </c>
      <c r="I35" s="2"/>
      <c r="J35" s="19"/>
      <c r="K35" s="2"/>
      <c r="L35" s="2">
        <f t="shared" si="0"/>
        <v>-17373.3</v>
      </c>
      <c r="M35" s="2"/>
      <c r="N35" s="19">
        <f t="shared" si="1"/>
        <v>-1</v>
      </c>
      <c r="O35" s="11"/>
      <c r="P35" s="2">
        <f t="shared" si="7"/>
        <v>0</v>
      </c>
      <c r="Q35" s="2"/>
      <c r="R35" s="19"/>
      <c r="S35" s="2"/>
      <c r="T35" s="2">
        <f>--21563.74</f>
        <v>21563.74</v>
      </c>
      <c r="U35" s="2"/>
      <c r="V35" s="19"/>
      <c r="W35" s="2"/>
      <c r="X35" s="2">
        <f t="shared" si="2"/>
        <v>-21563.74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"4104", " - ", "NON-TAXABLE SALES-DIGITAL TEXT")</f>
        <v xml:space="preserve">          4104 - NON-TAXABLE SALES-DIGITAL TEXT</v>
      </c>
      <c r="C36" s="11"/>
      <c r="D36" s="2">
        <f t="shared" si="6"/>
        <v>0</v>
      </c>
      <c r="E36" s="2"/>
      <c r="F36" s="19"/>
      <c r="G36" s="2"/>
      <c r="H36" s="2">
        <f>--205404.66</f>
        <v>205404.66</v>
      </c>
      <c r="I36" s="2"/>
      <c r="J36" s="19"/>
      <c r="K36" s="2"/>
      <c r="L36" s="2">
        <f t="shared" si="0"/>
        <v>-205404.66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--212890.18</f>
        <v>212890.18</v>
      </c>
      <c r="U36" s="2"/>
      <c r="V36" s="19"/>
      <c r="W36" s="2"/>
      <c r="X36" s="2">
        <f t="shared" si="2"/>
        <v>-212890.18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"4118", " - ", "NON-TAXABLE SALES-STUDY GUIDES")</f>
        <v xml:space="preserve">          4118 - NON-TAXABLE SALES-STUDY GUIDES</v>
      </c>
      <c r="C37" s="11"/>
      <c r="D37" s="2">
        <f t="shared" si="6"/>
        <v>0</v>
      </c>
      <c r="E37" s="2"/>
      <c r="F37" s="19"/>
      <c r="G37" s="2"/>
      <c r="H37" s="2">
        <f>--47.87</f>
        <v>47.87</v>
      </c>
      <c r="I37" s="2"/>
      <c r="J37" s="19"/>
      <c r="K37" s="2"/>
      <c r="L37" s="2">
        <f t="shared" si="0"/>
        <v>-47.87</v>
      </c>
      <c r="M37" s="2"/>
      <c r="N37" s="19">
        <f t="shared" si="1"/>
        <v>-1</v>
      </c>
      <c r="O37" s="11"/>
      <c r="P37" s="2">
        <f t="shared" si="7"/>
        <v>0</v>
      </c>
      <c r="Q37" s="2"/>
      <c r="R37" s="19"/>
      <c r="S37" s="2"/>
      <c r="T37" s="2">
        <f>--101.83</f>
        <v>101.83</v>
      </c>
      <c r="U37" s="2"/>
      <c r="V37" s="19"/>
      <c r="W37" s="2"/>
      <c r="X37" s="2">
        <f t="shared" si="2"/>
        <v>-101.83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"4126", " - ", "NON-TAXABLE SALES-WRITING INST")</f>
        <v xml:space="preserve">          4126 - NON-TAXABLE SALES-WRITING INST</v>
      </c>
      <c r="C38" s="11"/>
      <c r="D38" s="2">
        <f t="shared" si="6"/>
        <v>0</v>
      </c>
      <c r="E38" s="2"/>
      <c r="F38" s="19"/>
      <c r="G38" s="2"/>
      <c r="H38" s="2">
        <f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 t="shared" si="7"/>
        <v>0</v>
      </c>
      <c r="Q38" s="2"/>
      <c r="R38" s="19"/>
      <c r="S38" s="2"/>
      <c r="T38" s="2">
        <f>--52.68</f>
        <v>52.68</v>
      </c>
      <c r="U38" s="2"/>
      <c r="V38" s="19"/>
      <c r="W38" s="2"/>
      <c r="X38" s="2">
        <f t="shared" si="2"/>
        <v>-52.68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"4127", " - ", "NON-TAXABLE SALES-SCHOOL SUPPL")</f>
        <v xml:space="preserve">          4127 - NON-TAXABLE SALES-SCHOOL SUPPL</v>
      </c>
      <c r="C39" s="11"/>
      <c r="D39" s="2">
        <f t="shared" si="6"/>
        <v>0</v>
      </c>
      <c r="E39" s="2"/>
      <c r="F39" s="19"/>
      <c r="G39" s="2"/>
      <c r="H39" s="2">
        <f>--1788.16</f>
        <v>1788.16</v>
      </c>
      <c r="I39" s="2"/>
      <c r="J39" s="19"/>
      <c r="K39" s="2"/>
      <c r="L39" s="2">
        <f t="shared" si="0"/>
        <v>-1788.16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--1860.41</f>
        <v>1860.41</v>
      </c>
      <c r="U39" s="2"/>
      <c r="V39" s="19"/>
      <c r="W39" s="2"/>
      <c r="X39" s="2">
        <f t="shared" si="2"/>
        <v>-1860.41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"4131", " - ", "NON-TAXABLE SALES-FOOD")</f>
        <v xml:space="preserve">          4131 - NON-TAXABLE SALES-FOOD</v>
      </c>
      <c r="C40" s="11"/>
      <c r="D40" s="2">
        <f t="shared" si="6"/>
        <v>0</v>
      </c>
      <c r="E40" s="2"/>
      <c r="F40" s="19"/>
      <c r="G40" s="2"/>
      <c r="H40" s="2">
        <f>--1575.79</f>
        <v>1575.79</v>
      </c>
      <c r="I40" s="2"/>
      <c r="J40" s="19"/>
      <c r="K40" s="2"/>
      <c r="L40" s="2">
        <f t="shared" si="0"/>
        <v>-1575.79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--1835.22</f>
        <v>1835.22</v>
      </c>
      <c r="U40" s="2"/>
      <c r="V40" s="19"/>
      <c r="W40" s="2"/>
      <c r="X40" s="2">
        <f t="shared" si="2"/>
        <v>-1835.22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"4132", " - ", "NON-TAXABLE SALES-JUICE")</f>
        <v xml:space="preserve">          4132 - NON-TAXABLE SALES-JUICE</v>
      </c>
      <c r="C41" s="11"/>
      <c r="D41" s="2">
        <f t="shared" si="6"/>
        <v>0</v>
      </c>
      <c r="E41" s="2"/>
      <c r="F41" s="19"/>
      <c r="G41" s="2"/>
      <c r="H41" s="2">
        <f>--625.8</f>
        <v>625.79999999999995</v>
      </c>
      <c r="I41" s="2"/>
      <c r="J41" s="19"/>
      <c r="K41" s="2"/>
      <c r="L41" s="2">
        <f t="shared" si="0"/>
        <v>-625.79999999999995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--648.29</f>
        <v>648.29</v>
      </c>
      <c r="U41" s="2"/>
      <c r="V41" s="19"/>
      <c r="W41" s="2"/>
      <c r="X41" s="2">
        <f t="shared" si="2"/>
        <v>-648.29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"4133", " - ", "NON-TAXABLE SALES-CANDY")</f>
        <v xml:space="preserve">          4133 - NON-TAXABLE SALES-CANDY</v>
      </c>
      <c r="C42" s="11"/>
      <c r="D42" s="2">
        <f t="shared" si="6"/>
        <v>0</v>
      </c>
      <c r="E42" s="2"/>
      <c r="F42" s="19"/>
      <c r="G42" s="2"/>
      <c r="H42" s="2">
        <f>--12.43</f>
        <v>12.43</v>
      </c>
      <c r="I42" s="2"/>
      <c r="J42" s="19"/>
      <c r="K42" s="2"/>
      <c r="L42" s="2">
        <f t="shared" si="0"/>
        <v>-12.43</v>
      </c>
      <c r="M42" s="2"/>
      <c r="N42" s="19">
        <f t="shared" si="1"/>
        <v>-1</v>
      </c>
      <c r="O42" s="11"/>
      <c r="P42" s="2">
        <f t="shared" si="7"/>
        <v>0</v>
      </c>
      <c r="Q42" s="2"/>
      <c r="R42" s="19"/>
      <c r="S42" s="2"/>
      <c r="T42" s="2">
        <f>--80.71</f>
        <v>80.709999999999994</v>
      </c>
      <c r="U42" s="2"/>
      <c r="V42" s="19"/>
      <c r="W42" s="2"/>
      <c r="X42" s="2">
        <f t="shared" si="2"/>
        <v>-80.709999999999994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"4134", " - ", "NON-TAXABLE SALES-SODA")</f>
        <v xml:space="preserve">          4134 - NON-TAXABLE SALES-SODA</v>
      </c>
      <c r="C43" s="11"/>
      <c r="D43" s="2">
        <f t="shared" si="6"/>
        <v>0</v>
      </c>
      <c r="E43" s="2"/>
      <c r="F43" s="19"/>
      <c r="G43" s="2"/>
      <c r="H43" s="2">
        <f t="shared" ref="H43:H44" si="8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7"/>
        <v>0</v>
      </c>
      <c r="Q43" s="2"/>
      <c r="R43" s="19"/>
      <c r="S43" s="2"/>
      <c r="T43" s="2">
        <f>--45.53</f>
        <v>45.53</v>
      </c>
      <c r="U43" s="2"/>
      <c r="V43" s="19"/>
      <c r="W43" s="2"/>
      <c r="X43" s="2">
        <f t="shared" si="2"/>
        <v>-45.53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"4137", " - ", "NON-TAXABLE SALES-WATER")</f>
        <v xml:space="preserve">          4137 - NON-TAXABLE SALES-WATER</v>
      </c>
      <c r="C44" s="11"/>
      <c r="D44" s="2">
        <f t="shared" si="6"/>
        <v>0</v>
      </c>
      <c r="E44" s="2"/>
      <c r="F44" s="19"/>
      <c r="G44" s="2"/>
      <c r="H44" s="2">
        <f t="shared" si="8"/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7"/>
        <v>0</v>
      </c>
      <c r="Q44" s="2"/>
      <c r="R44" s="19"/>
      <c r="S44" s="2"/>
      <c r="T44" s="2">
        <f>--68.25</f>
        <v>68.25</v>
      </c>
      <c r="U44" s="2"/>
      <c r="V44" s="19"/>
      <c r="W44" s="2"/>
      <c r="X44" s="2">
        <f t="shared" si="2"/>
        <v>-68.25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"4140", " - ", "NON-TAXABLE SALES-LOGO CLOTHIN")</f>
        <v xml:space="preserve">          4140 - NON-TAXABLE SALES-LOGO CLOTHIN</v>
      </c>
      <c r="C45" s="11"/>
      <c r="D45" s="2">
        <f t="shared" si="6"/>
        <v>0</v>
      </c>
      <c r="E45" s="2"/>
      <c r="F45" s="19"/>
      <c r="G45" s="2"/>
      <c r="H45" s="2">
        <f>--7266.5</f>
        <v>7266.5</v>
      </c>
      <c r="I45" s="2"/>
      <c r="J45" s="19"/>
      <c r="K45" s="2"/>
      <c r="L45" s="2">
        <f t="shared" si="0"/>
        <v>-7266.5</v>
      </c>
      <c r="M45" s="2"/>
      <c r="N45" s="19">
        <f t="shared" si="1"/>
        <v>-1</v>
      </c>
      <c r="O45" s="11"/>
      <c r="P45" s="2">
        <f t="shared" si="7"/>
        <v>0</v>
      </c>
      <c r="Q45" s="2"/>
      <c r="R45" s="19"/>
      <c r="S45" s="2"/>
      <c r="T45" s="2">
        <f>--14112.74</f>
        <v>14112.74</v>
      </c>
      <c r="U45" s="2"/>
      <c r="V45" s="19"/>
      <c r="W45" s="2"/>
      <c r="X45" s="2">
        <f t="shared" si="2"/>
        <v>-14112.74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"4141", " - ", "NON-TAXABLE SALES-LOGO GIFTS")</f>
        <v xml:space="preserve">          4141 - NON-TAXABLE SALES-LOGO GIFTS</v>
      </c>
      <c r="C46" s="11"/>
      <c r="D46" s="2">
        <f>--389.5</f>
        <v>389.5</v>
      </c>
      <c r="E46" s="2"/>
      <c r="F46" s="19"/>
      <c r="G46" s="2"/>
      <c r="H46" s="2">
        <f>--1189.06</f>
        <v>1189.06</v>
      </c>
      <c r="I46" s="2"/>
      <c r="J46" s="19"/>
      <c r="K46" s="2"/>
      <c r="L46" s="2">
        <f t="shared" si="0"/>
        <v>-799.56</v>
      </c>
      <c r="M46" s="2"/>
      <c r="N46" s="19">
        <f t="shared" si="1"/>
        <v>-0.6724303231123745</v>
      </c>
      <c r="O46" s="11"/>
      <c r="P46" s="2">
        <f>--389.5</f>
        <v>389.5</v>
      </c>
      <c r="Q46" s="2"/>
      <c r="R46" s="19"/>
      <c r="S46" s="2"/>
      <c r="T46" s="2">
        <f>--2389.25</f>
        <v>2389.25</v>
      </c>
      <c r="U46" s="2"/>
      <c r="V46" s="19"/>
      <c r="W46" s="2"/>
      <c r="X46" s="2">
        <f t="shared" si="2"/>
        <v>-1999.75</v>
      </c>
      <c r="Y46" s="2"/>
      <c r="Z46" s="19">
        <f t="shared" si="3"/>
        <v>-0.83697813121272369</v>
      </c>
    </row>
    <row r="47" spans="1:26" s="24" customFormat="1" hidden="1" outlineLevel="1" x14ac:dyDescent="0.3">
      <c r="A47" s="44"/>
      <c r="B47" s="11" t="str">
        <f>CONCATENATE("          ", "4142", " - ", "NON-TAXABLE SALES-EVERYDAY GIF")</f>
        <v xml:space="preserve">          4142 - NON-TAXABLE SALES-EVERYDAY GIF</v>
      </c>
      <c r="C47" s="11"/>
      <c r="D47" s="2">
        <f t="shared" ref="D47:D50" si="9">0</f>
        <v>0</v>
      </c>
      <c r="E47" s="2"/>
      <c r="F47" s="19"/>
      <c r="G47" s="2"/>
      <c r="H47" s="2">
        <f>--339.4</f>
        <v>339.4</v>
      </c>
      <c r="I47" s="2"/>
      <c r="J47" s="19"/>
      <c r="K47" s="2"/>
      <c r="L47" s="2">
        <f t="shared" si="0"/>
        <v>-339.4</v>
      </c>
      <c r="M47" s="2"/>
      <c r="N47" s="19">
        <f t="shared" si="1"/>
        <v>-1</v>
      </c>
      <c r="O47" s="11"/>
      <c r="P47" s="2">
        <f t="shared" ref="P47:P50" si="10">0</f>
        <v>0</v>
      </c>
      <c r="Q47" s="2"/>
      <c r="R47" s="19"/>
      <c r="S47" s="2"/>
      <c r="T47" s="2">
        <f>--979.57</f>
        <v>979.57</v>
      </c>
      <c r="U47" s="2"/>
      <c r="V47" s="19"/>
      <c r="W47" s="2"/>
      <c r="X47" s="2">
        <f t="shared" si="2"/>
        <v>-979.57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"4143", " - ", "NON-TAXABLE SALES-CARDS")</f>
        <v xml:space="preserve">          4143 - NON-TAXABLE SALES-CARDS</v>
      </c>
      <c r="C48" s="11"/>
      <c r="D48" s="2">
        <f t="shared" si="9"/>
        <v>0</v>
      </c>
      <c r="E48" s="2"/>
      <c r="F48" s="19"/>
      <c r="G48" s="2"/>
      <c r="H48" s="2">
        <f>--19.98</f>
        <v>19.98</v>
      </c>
      <c r="I48" s="2"/>
      <c r="J48" s="19"/>
      <c r="K48" s="2"/>
      <c r="L48" s="2">
        <f t="shared" si="0"/>
        <v>-19.98</v>
      </c>
      <c r="M48" s="2"/>
      <c r="N48" s="19">
        <f t="shared" si="1"/>
        <v>-1</v>
      </c>
      <c r="O48" s="11"/>
      <c r="P48" s="2">
        <f t="shared" si="10"/>
        <v>0</v>
      </c>
      <c r="Q48" s="2"/>
      <c r="R48" s="19"/>
      <c r="S48" s="2"/>
      <c r="T48" s="2">
        <f>--19.98</f>
        <v>19.98</v>
      </c>
      <c r="U48" s="2"/>
      <c r="V48" s="19"/>
      <c r="W48" s="2"/>
      <c r="X48" s="2">
        <f t="shared" si="2"/>
        <v>-19.98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"4144", " - ", "NON-TAXABLE SALES-ACCESSORIES")</f>
        <v xml:space="preserve">          4144 - NON-TAXABLE SALES-ACCESSORIES</v>
      </c>
      <c r="C49" s="11"/>
      <c r="D49" s="2">
        <f t="shared" si="9"/>
        <v>0</v>
      </c>
      <c r="E49" s="2"/>
      <c r="F49" s="19"/>
      <c r="G49" s="2"/>
      <c r="H49" s="2">
        <f>--107.95</f>
        <v>107.95</v>
      </c>
      <c r="I49" s="2"/>
      <c r="J49" s="19"/>
      <c r="K49" s="2"/>
      <c r="L49" s="2">
        <f t="shared" si="0"/>
        <v>-107.95</v>
      </c>
      <c r="M49" s="2"/>
      <c r="N49" s="19">
        <f t="shared" si="1"/>
        <v>-1</v>
      </c>
      <c r="O49" s="11"/>
      <c r="P49" s="2">
        <f t="shared" si="10"/>
        <v>0</v>
      </c>
      <c r="Q49" s="2"/>
      <c r="R49" s="19"/>
      <c r="S49" s="2"/>
      <c r="T49" s="2">
        <f>--155.8</f>
        <v>155.80000000000001</v>
      </c>
      <c r="U49" s="2"/>
      <c r="V49" s="19"/>
      <c r="W49" s="2"/>
      <c r="X49" s="2">
        <f t="shared" si="2"/>
        <v>-155.80000000000001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"4145", " - ", "NON-TAXABLE SALES-SPECIAL ORDE")</f>
        <v xml:space="preserve">          4145 - NON-TAXABLE SALES-SPECIAL ORDE</v>
      </c>
      <c r="C50" s="11"/>
      <c r="D50" s="2">
        <f t="shared" si="9"/>
        <v>0</v>
      </c>
      <c r="E50" s="2"/>
      <c r="F50" s="19"/>
      <c r="G50" s="2"/>
      <c r="H50" s="2">
        <f>--350</f>
        <v>350</v>
      </c>
      <c r="I50" s="2"/>
      <c r="J50" s="19"/>
      <c r="K50" s="2"/>
      <c r="L50" s="2">
        <f t="shared" si="0"/>
        <v>-350</v>
      </c>
      <c r="M50" s="2"/>
      <c r="N50" s="19">
        <f t="shared" si="1"/>
        <v>-1</v>
      </c>
      <c r="O50" s="11"/>
      <c r="P50" s="2">
        <f t="shared" si="10"/>
        <v>0</v>
      </c>
      <c r="Q50" s="2"/>
      <c r="R50" s="19"/>
      <c r="S50" s="2"/>
      <c r="T50" s="2">
        <f>--35846</f>
        <v>35846</v>
      </c>
      <c r="U50" s="2"/>
      <c r="V50" s="19"/>
      <c r="W50" s="2"/>
      <c r="X50" s="2">
        <f t="shared" si="2"/>
        <v>-35846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"4146", " - ", "NON-TAXABLE SALES-COIN OP MACH")</f>
        <v xml:space="preserve">          4146 - NON-TAXABLE SALES-COIN OP MACH</v>
      </c>
      <c r="C51" s="11"/>
      <c r="D51" s="2">
        <f>--2713.4</f>
        <v>2713.4</v>
      </c>
      <c r="E51" s="2"/>
      <c r="F51" s="19"/>
      <c r="G51" s="2"/>
      <c r="H51" s="2">
        <f>--15.5</f>
        <v>15.5</v>
      </c>
      <c r="I51" s="2"/>
      <c r="J51" s="19"/>
      <c r="K51" s="2"/>
      <c r="L51" s="2">
        <f t="shared" si="0"/>
        <v>2697.9</v>
      </c>
      <c r="M51" s="2"/>
      <c r="N51" s="19">
        <f t="shared" si="1"/>
        <v>174.05806451612904</v>
      </c>
      <c r="O51" s="11"/>
      <c r="P51" s="2">
        <f>--2733.6</f>
        <v>2733.6</v>
      </c>
      <c r="Q51" s="2"/>
      <c r="R51" s="19"/>
      <c r="S51" s="2"/>
      <c r="T51" s="2">
        <f>--15.5</f>
        <v>15.5</v>
      </c>
      <c r="U51" s="2"/>
      <c r="V51" s="19"/>
      <c r="W51" s="2"/>
      <c r="X51" s="2">
        <f t="shared" si="2"/>
        <v>2718.1</v>
      </c>
      <c r="Y51" s="2"/>
      <c r="Z51" s="19">
        <f t="shared" si="3"/>
        <v>175.36129032258063</v>
      </c>
    </row>
    <row r="52" spans="1:26" s="24" customFormat="1" hidden="1" outlineLevel="1" x14ac:dyDescent="0.3">
      <c r="A52" s="44"/>
      <c r="B52" s="11" t="str">
        <f>CONCATENATE("          ", "4147", " - ", "NON-TAXABLE SALES-MISC")</f>
        <v xml:space="preserve">          4147 - NON-TAXABLE SALES-MISC</v>
      </c>
      <c r="C52" s="11"/>
      <c r="D52" s="2">
        <f>0</f>
        <v>0</v>
      </c>
      <c r="E52" s="2"/>
      <c r="F52" s="19"/>
      <c r="G52" s="2"/>
      <c r="H52" s="2">
        <f>--23</f>
        <v>23</v>
      </c>
      <c r="I52" s="2"/>
      <c r="J52" s="19"/>
      <c r="K52" s="2"/>
      <c r="L52" s="2">
        <f t="shared" si="0"/>
        <v>-23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--24</f>
        <v>24</v>
      </c>
      <c r="U52" s="2"/>
      <c r="V52" s="19"/>
      <c r="W52" s="2"/>
      <c r="X52" s="2">
        <f t="shared" si="2"/>
        <v>-24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"4153", " - ", "NON-TAXABLE SALES-FOOD")</f>
        <v xml:space="preserve">          4153 - NON-TAXABLE SALES-FOOD</v>
      </c>
      <c r="C53" s="11"/>
      <c r="D53" s="2">
        <f>--130.35</f>
        <v>130.35</v>
      </c>
      <c r="E53" s="2"/>
      <c r="F53" s="19"/>
      <c r="G53" s="2"/>
      <c r="H53" s="2">
        <f>--110</f>
        <v>110</v>
      </c>
      <c r="I53" s="2"/>
      <c r="J53" s="19"/>
      <c r="K53" s="2"/>
      <c r="L53" s="2">
        <f t="shared" si="0"/>
        <v>20.349999999999994</v>
      </c>
      <c r="M53" s="2"/>
      <c r="N53" s="19">
        <f t="shared" si="1"/>
        <v>0.18499999999999994</v>
      </c>
      <c r="O53" s="11"/>
      <c r="P53" s="2">
        <f>--130.35</f>
        <v>130.35</v>
      </c>
      <c r="Q53" s="2"/>
      <c r="R53" s="19"/>
      <c r="S53" s="2"/>
      <c r="T53" s="2">
        <f>--110</f>
        <v>110</v>
      </c>
      <c r="U53" s="2"/>
      <c r="V53" s="19"/>
      <c r="W53" s="2"/>
      <c r="X53" s="2">
        <f t="shared" si="2"/>
        <v>20.349999999999994</v>
      </c>
      <c r="Y53" s="2"/>
      <c r="Z53" s="19">
        <f t="shared" si="3"/>
        <v>0.18499999999999994</v>
      </c>
    </row>
    <row r="54" spans="1:26" s="24" customFormat="1" hidden="1" outlineLevel="1" x14ac:dyDescent="0.3">
      <c r="A54" s="44"/>
      <c r="B54" s="11" t="str">
        <f>CONCATENATE("          ", "4200", " - ", "TAXABLE RETURNS")</f>
        <v xml:space="preserve">          4200 - TAXABLE RETURNS</v>
      </c>
      <c r="C54" s="11"/>
      <c r="D54" s="2">
        <f>-20240.57</f>
        <v>-20240.57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-20240.57</v>
      </c>
      <c r="M54" s="2"/>
      <c r="N54" s="19">
        <f t="shared" si="1"/>
        <v>0</v>
      </c>
      <c r="O54" s="11"/>
      <c r="P54" s="2">
        <f>-25806.84</f>
        <v>-25806.84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-25806.84</v>
      </c>
      <c r="Y54" s="2"/>
      <c r="Z54" s="19">
        <f t="shared" si="3"/>
        <v>0</v>
      </c>
    </row>
    <row r="55" spans="1:26" s="24" customFormat="1" hidden="1" outlineLevel="1" x14ac:dyDescent="0.3">
      <c r="A55" s="44"/>
      <c r="B55" s="11" t="str">
        <f>CONCATENATE("          ", "4201", " - ", "SALES RETURN TAXABLE-NEW TEXT")</f>
        <v xml:space="preserve">          4201 - SALES RETURN TAXABLE-NEW TEXT</v>
      </c>
      <c r="C55" s="11"/>
      <c r="D55" s="2">
        <f t="shared" ref="D55:D66" si="11">0</f>
        <v>0</v>
      </c>
      <c r="E55" s="2"/>
      <c r="F55" s="19"/>
      <c r="G55" s="2"/>
      <c r="H55" s="2">
        <f>-18222.39</f>
        <v>-18222.39</v>
      </c>
      <c r="I55" s="2"/>
      <c r="J55" s="19"/>
      <c r="K55" s="2"/>
      <c r="L55" s="2">
        <f t="shared" si="0"/>
        <v>18222.39</v>
      </c>
      <c r="M55" s="2"/>
      <c r="N55" s="19">
        <f t="shared" si="1"/>
        <v>-1</v>
      </c>
      <c r="O55" s="11"/>
      <c r="P55" s="2">
        <f t="shared" ref="P55:P66" si="12">0</f>
        <v>0</v>
      </c>
      <c r="Q55" s="2"/>
      <c r="R55" s="19"/>
      <c r="S55" s="2"/>
      <c r="T55" s="2">
        <f>-18855.79</f>
        <v>-18855.79</v>
      </c>
      <c r="U55" s="2"/>
      <c r="V55" s="19"/>
      <c r="W55" s="2"/>
      <c r="X55" s="2">
        <f t="shared" si="2"/>
        <v>18855.79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"4202", " - ", "SALES RETURN TAXABLE-USED TEXT")</f>
        <v xml:space="preserve">          4202 - SALES RETURN TAXABLE-USED TEXT</v>
      </c>
      <c r="C56" s="11"/>
      <c r="D56" s="2">
        <f t="shared" si="11"/>
        <v>0</v>
      </c>
      <c r="E56" s="2"/>
      <c r="F56" s="19"/>
      <c r="G56" s="2"/>
      <c r="H56" s="2">
        <f>-8869.4</f>
        <v>-8869.4</v>
      </c>
      <c r="I56" s="2"/>
      <c r="J56" s="19"/>
      <c r="K56" s="2"/>
      <c r="L56" s="2">
        <f t="shared" si="0"/>
        <v>8869.4</v>
      </c>
      <c r="M56" s="2"/>
      <c r="N56" s="19">
        <f t="shared" si="1"/>
        <v>-1</v>
      </c>
      <c r="O56" s="11"/>
      <c r="P56" s="2">
        <f t="shared" si="12"/>
        <v>0</v>
      </c>
      <c r="Q56" s="2"/>
      <c r="R56" s="19"/>
      <c r="S56" s="2"/>
      <c r="T56" s="2">
        <f>-9047.75</f>
        <v>-9047.75</v>
      </c>
      <c r="U56" s="2"/>
      <c r="V56" s="19"/>
      <c r="W56" s="2"/>
      <c r="X56" s="2">
        <f t="shared" si="2"/>
        <v>9047.75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"4204", " - ", "SALES RETURN TAXABLE-DIGITAL T")</f>
        <v xml:space="preserve">          4204 - SALES RETURN TAXABLE-DIGITAL T</v>
      </c>
      <c r="C57" s="11"/>
      <c r="D57" s="2">
        <f t="shared" si="11"/>
        <v>0</v>
      </c>
      <c r="E57" s="2"/>
      <c r="F57" s="19"/>
      <c r="G57" s="2"/>
      <c r="H57" s="2">
        <f>-1141.08</f>
        <v>-1141.08</v>
      </c>
      <c r="I57" s="2"/>
      <c r="J57" s="19"/>
      <c r="K57" s="2"/>
      <c r="L57" s="2">
        <f t="shared" si="0"/>
        <v>1141.08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-1141.08</f>
        <v>-1141.08</v>
      </c>
      <c r="U57" s="2"/>
      <c r="V57" s="19"/>
      <c r="W57" s="2"/>
      <c r="X57" s="2">
        <f t="shared" si="2"/>
        <v>1141.08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"4226", " - ", "SALES RETURN TAXABLE-WRITING I")</f>
        <v xml:space="preserve">          4226 - SALES RETURN TAXABLE-WRITING I</v>
      </c>
      <c r="C58" s="11"/>
      <c r="D58" s="2">
        <f t="shared" si="11"/>
        <v>0</v>
      </c>
      <c r="E58" s="2"/>
      <c r="F58" s="19"/>
      <c r="G58" s="2"/>
      <c r="H58" s="2">
        <f>0</f>
        <v>0</v>
      </c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 t="shared" si="12"/>
        <v>0</v>
      </c>
      <c r="Q58" s="2"/>
      <c r="R58" s="19"/>
      <c r="S58" s="2"/>
      <c r="T58" s="2">
        <f>-6.38</f>
        <v>-6.38</v>
      </c>
      <c r="U58" s="2"/>
      <c r="V58" s="19"/>
      <c r="W58" s="2"/>
      <c r="X58" s="2">
        <f t="shared" si="2"/>
        <v>6.38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"4227", " - ", "SALES RETURN TAXABLE-SCHOOL SU")</f>
        <v xml:space="preserve">          4227 - SALES RETURN TAXABLE-SCHOOL SU</v>
      </c>
      <c r="C59" s="11"/>
      <c r="D59" s="2">
        <f t="shared" si="11"/>
        <v>0</v>
      </c>
      <c r="E59" s="2"/>
      <c r="F59" s="19"/>
      <c r="G59" s="2"/>
      <c r="H59" s="2">
        <f>-359.61</f>
        <v>-359.61</v>
      </c>
      <c r="I59" s="2"/>
      <c r="J59" s="19"/>
      <c r="K59" s="2"/>
      <c r="L59" s="2">
        <f t="shared" si="0"/>
        <v>359.61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-416.38</f>
        <v>-416.38</v>
      </c>
      <c r="U59" s="2"/>
      <c r="V59" s="19"/>
      <c r="W59" s="2"/>
      <c r="X59" s="2">
        <f t="shared" si="2"/>
        <v>416.38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"4228", " - ", "SALES RETURN TAXABLE-ART/TECH")</f>
        <v xml:space="preserve">          4228 - SALES RETURN TAXABLE-ART/TECH</v>
      </c>
      <c r="C60" s="11"/>
      <c r="D60" s="2">
        <f t="shared" si="11"/>
        <v>0</v>
      </c>
      <c r="E60" s="2"/>
      <c r="F60" s="19"/>
      <c r="G60" s="2"/>
      <c r="H60" s="2">
        <f>-164.44</f>
        <v>-164.44</v>
      </c>
      <c r="I60" s="2"/>
      <c r="J60" s="19"/>
      <c r="K60" s="2"/>
      <c r="L60" s="2">
        <f t="shared" si="0"/>
        <v>164.44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-164.44</f>
        <v>-164.44</v>
      </c>
      <c r="U60" s="2"/>
      <c r="V60" s="19"/>
      <c r="W60" s="2"/>
      <c r="X60" s="2">
        <f t="shared" si="2"/>
        <v>164.44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"4240", " - ", "SALES RETURN TAXABLE-LOGO CLOT")</f>
        <v xml:space="preserve">          4240 - SALES RETURN TAXABLE-LOGO CLOT</v>
      </c>
      <c r="C61" s="11"/>
      <c r="D61" s="2">
        <f t="shared" si="11"/>
        <v>0</v>
      </c>
      <c r="E61" s="2"/>
      <c r="F61" s="19"/>
      <c r="G61" s="2"/>
      <c r="H61" s="2">
        <f>-4788.72</f>
        <v>-4788.72</v>
      </c>
      <c r="I61" s="2"/>
      <c r="J61" s="19"/>
      <c r="K61" s="2"/>
      <c r="L61" s="2">
        <f t="shared" si="0"/>
        <v>4788.72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-8156.82</f>
        <v>-8156.82</v>
      </c>
      <c r="U61" s="2"/>
      <c r="V61" s="19"/>
      <c r="W61" s="2"/>
      <c r="X61" s="2">
        <f t="shared" si="2"/>
        <v>8156.82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"4241", " - ", "SALES RETURN TAXABLE-LOGO GIFT")</f>
        <v xml:space="preserve">          4241 - SALES RETURN TAXABLE-LOGO GIFT</v>
      </c>
      <c r="C62" s="11"/>
      <c r="D62" s="2">
        <f t="shared" si="11"/>
        <v>0</v>
      </c>
      <c r="E62" s="2"/>
      <c r="F62" s="19"/>
      <c r="G62" s="2"/>
      <c r="H62" s="2">
        <f>-986.21</f>
        <v>-986.21</v>
      </c>
      <c r="I62" s="2"/>
      <c r="J62" s="19"/>
      <c r="K62" s="2"/>
      <c r="L62" s="2">
        <f t="shared" si="0"/>
        <v>986.21</v>
      </c>
      <c r="M62" s="2"/>
      <c r="N62" s="19">
        <f t="shared" si="1"/>
        <v>-1</v>
      </c>
      <c r="O62" s="11"/>
      <c r="P62" s="2">
        <f t="shared" si="12"/>
        <v>0</v>
      </c>
      <c r="Q62" s="2"/>
      <c r="R62" s="19"/>
      <c r="S62" s="2"/>
      <c r="T62" s="2">
        <f>-1328.19</f>
        <v>-1328.19</v>
      </c>
      <c r="U62" s="2"/>
      <c r="V62" s="19"/>
      <c r="W62" s="2"/>
      <c r="X62" s="2">
        <f t="shared" si="2"/>
        <v>1328.19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"4242", " - ", "SALES RETURN TAXABLE-EVERYDAY")</f>
        <v xml:space="preserve">          4242 - SALES RETURN TAXABLE-EVERYDAY</v>
      </c>
      <c r="C63" s="11"/>
      <c r="D63" s="2">
        <f t="shared" si="11"/>
        <v>0</v>
      </c>
      <c r="E63" s="2"/>
      <c r="F63" s="19"/>
      <c r="G63" s="2"/>
      <c r="H63" s="2">
        <f>-470.53</f>
        <v>-470.53</v>
      </c>
      <c r="I63" s="2"/>
      <c r="J63" s="19"/>
      <c r="K63" s="2"/>
      <c r="L63" s="2">
        <f t="shared" si="0"/>
        <v>470.53</v>
      </c>
      <c r="M63" s="2"/>
      <c r="N63" s="19">
        <f t="shared" si="1"/>
        <v>-1</v>
      </c>
      <c r="O63" s="11"/>
      <c r="P63" s="2">
        <f t="shared" si="12"/>
        <v>0</v>
      </c>
      <c r="Q63" s="2"/>
      <c r="R63" s="19"/>
      <c r="S63" s="2"/>
      <c r="T63" s="2">
        <f>-649.49</f>
        <v>-649.49</v>
      </c>
      <c r="U63" s="2"/>
      <c r="V63" s="19"/>
      <c r="W63" s="2"/>
      <c r="X63" s="2">
        <f t="shared" si="2"/>
        <v>649.49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"4243", " - ", "SALES RETURN TAXABLE-CARDS")</f>
        <v xml:space="preserve">          4243 - SALES RETURN TAXABLE-CARDS</v>
      </c>
      <c r="C64" s="11"/>
      <c r="D64" s="2">
        <f t="shared" si="11"/>
        <v>0</v>
      </c>
      <c r="E64" s="2"/>
      <c r="F64" s="19"/>
      <c r="G64" s="2"/>
      <c r="H64" s="2">
        <f>-93.43</f>
        <v>-93.43</v>
      </c>
      <c r="I64" s="2"/>
      <c r="J64" s="19"/>
      <c r="K64" s="2"/>
      <c r="L64" s="2">
        <f t="shared" si="0"/>
        <v>93.43</v>
      </c>
      <c r="M64" s="2"/>
      <c r="N64" s="19">
        <f t="shared" si="1"/>
        <v>-1</v>
      </c>
      <c r="O64" s="11"/>
      <c r="P64" s="2">
        <f t="shared" si="12"/>
        <v>0</v>
      </c>
      <c r="Q64" s="2"/>
      <c r="R64" s="19"/>
      <c r="S64" s="2"/>
      <c r="T64" s="2">
        <f>-93.43</f>
        <v>-93.43</v>
      </c>
      <c r="U64" s="2"/>
      <c r="V64" s="19"/>
      <c r="W64" s="2"/>
      <c r="X64" s="2">
        <f t="shared" si="2"/>
        <v>93.43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"4244", " - ", "SALES RETURN TAXABLE-ACCESSORI")</f>
        <v xml:space="preserve">          4244 - SALES RETURN TAXABLE-ACCESSORI</v>
      </c>
      <c r="C65" s="11"/>
      <c r="D65" s="2">
        <f t="shared" si="11"/>
        <v>0</v>
      </c>
      <c r="E65" s="2"/>
      <c r="F65" s="19"/>
      <c r="G65" s="2"/>
      <c r="H65" s="2">
        <f>-350.99</f>
        <v>-350.99</v>
      </c>
      <c r="I65" s="2"/>
      <c r="J65" s="19"/>
      <c r="K65" s="2"/>
      <c r="L65" s="2">
        <f t="shared" si="0"/>
        <v>350.99</v>
      </c>
      <c r="M65" s="2"/>
      <c r="N65" s="19">
        <f t="shared" si="1"/>
        <v>-1</v>
      </c>
      <c r="O65" s="11"/>
      <c r="P65" s="2">
        <f t="shared" si="12"/>
        <v>0</v>
      </c>
      <c r="Q65" s="2"/>
      <c r="R65" s="19"/>
      <c r="S65" s="2"/>
      <c r="T65" s="2">
        <f>-350.99</f>
        <v>-350.99</v>
      </c>
      <c r="U65" s="2"/>
      <c r="V65" s="19"/>
      <c r="W65" s="2"/>
      <c r="X65" s="2">
        <f t="shared" si="2"/>
        <v>350.99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"4245", " - ", "SALES RETURN TAXABLE-SPECIAL O")</f>
        <v xml:space="preserve">          4245 - SALES RETURN TAXABLE-SPECIAL O</v>
      </c>
      <c r="C66" s="11"/>
      <c r="D66" s="2">
        <f t="shared" si="11"/>
        <v>0</v>
      </c>
      <c r="E66" s="2"/>
      <c r="F66" s="19"/>
      <c r="G66" s="2"/>
      <c r="H66" s="2">
        <f>-57.96</f>
        <v>-57.96</v>
      </c>
      <c r="I66" s="2"/>
      <c r="J66" s="19"/>
      <c r="K66" s="2"/>
      <c r="L66" s="2">
        <f t="shared" si="0"/>
        <v>57.96</v>
      </c>
      <c r="M66" s="2"/>
      <c r="N66" s="19">
        <f t="shared" si="1"/>
        <v>-1</v>
      </c>
      <c r="O66" s="11"/>
      <c r="P66" s="2">
        <f t="shared" si="12"/>
        <v>0</v>
      </c>
      <c r="Q66" s="2"/>
      <c r="R66" s="19"/>
      <c r="S66" s="2"/>
      <c r="T66" s="2">
        <f>-1178.96</f>
        <v>-1178.96</v>
      </c>
      <c r="U66" s="2"/>
      <c r="V66" s="19"/>
      <c r="W66" s="2"/>
      <c r="X66" s="2">
        <f t="shared" si="2"/>
        <v>1178.96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"4300", " - ", "NON-TAX RETURNS")</f>
        <v xml:space="preserve">          4300 - NON-TAX RETURNS</v>
      </c>
      <c r="C67" s="11"/>
      <c r="D67" s="2">
        <f>-16288.08</f>
        <v>-16288.08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-16288.08</v>
      </c>
      <c r="M67" s="2"/>
      <c r="N67" s="19">
        <f t="shared" si="1"/>
        <v>0</v>
      </c>
      <c r="O67" s="11"/>
      <c r="P67" s="2">
        <f>-17390.66</f>
        <v>-17390.66</v>
      </c>
      <c r="Q67" s="2"/>
      <c r="R67" s="19"/>
      <c r="S67" s="2"/>
      <c r="T67" s="2">
        <f>0</f>
        <v>0</v>
      </c>
      <c r="U67" s="2"/>
      <c r="V67" s="19"/>
      <c r="W67" s="2"/>
      <c r="X67" s="2">
        <f t="shared" si="2"/>
        <v>-17390.66</v>
      </c>
      <c r="Y67" s="2"/>
      <c r="Z67" s="19">
        <f t="shared" si="3"/>
        <v>0</v>
      </c>
    </row>
    <row r="68" spans="1:26" s="24" customFormat="1" hidden="1" outlineLevel="1" x14ac:dyDescent="0.3">
      <c r="A68" s="44"/>
      <c r="B68" s="11" t="str">
        <f>CONCATENATE("          ", "4301", " - ", "SALES RETURN NON TAXABLE-NEW T")</f>
        <v xml:space="preserve">          4301 - SALES RETURN NON TAXABLE-NEW T</v>
      </c>
      <c r="C68" s="11"/>
      <c r="D68" s="2">
        <f t="shared" ref="D68:D73" si="13">0</f>
        <v>0</v>
      </c>
      <c r="E68" s="2"/>
      <c r="F68" s="19"/>
      <c r="G68" s="2"/>
      <c r="H68" s="2">
        <f>-20.25</f>
        <v>-20.25</v>
      </c>
      <c r="I68" s="2"/>
      <c r="J68" s="19"/>
      <c r="K68" s="2"/>
      <c r="L68" s="2">
        <f t="shared" si="0"/>
        <v>20.25</v>
      </c>
      <c r="M68" s="2"/>
      <c r="N68" s="19">
        <f t="shared" si="1"/>
        <v>-1</v>
      </c>
      <c r="O68" s="11"/>
      <c r="P68" s="2">
        <f t="shared" ref="P68:P73" si="14">0</f>
        <v>0</v>
      </c>
      <c r="Q68" s="2"/>
      <c r="R68" s="19"/>
      <c r="S68" s="2"/>
      <c r="T68" s="2">
        <f>-20.25</f>
        <v>-20.25</v>
      </c>
      <c r="U68" s="2"/>
      <c r="V68" s="19"/>
      <c r="W68" s="2"/>
      <c r="X68" s="2">
        <f t="shared" si="2"/>
        <v>20.25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"4302", " - ", "SALES RETURN NON TAXABLE-TEXT")</f>
        <v xml:space="preserve">          4302 - SALES RETURN NON TAXABLE-TEXT</v>
      </c>
      <c r="C69" s="11"/>
      <c r="D69" s="2">
        <f t="shared" si="13"/>
        <v>0</v>
      </c>
      <c r="E69" s="2"/>
      <c r="F69" s="19"/>
      <c r="G69" s="2"/>
      <c r="H69" s="2">
        <f>-346.17</f>
        <v>-346.17</v>
      </c>
      <c r="I69" s="2"/>
      <c r="J69" s="19"/>
      <c r="K69" s="2"/>
      <c r="L69" s="2">
        <f t="shared" si="0"/>
        <v>346.17</v>
      </c>
      <c r="M69" s="2"/>
      <c r="N69" s="19">
        <f t="shared" si="1"/>
        <v>-1</v>
      </c>
      <c r="O69" s="11"/>
      <c r="P69" s="2">
        <f t="shared" si="14"/>
        <v>0</v>
      </c>
      <c r="Q69" s="2"/>
      <c r="R69" s="19"/>
      <c r="S69" s="2"/>
      <c r="T69" s="2">
        <f>-409.84</f>
        <v>-409.84</v>
      </c>
      <c r="U69" s="2"/>
      <c r="V69" s="19"/>
      <c r="W69" s="2"/>
      <c r="X69" s="2">
        <f t="shared" si="2"/>
        <v>409.84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"4304", " - ", "SALES RETURN NON TAXABLE-DIGIT")</f>
        <v xml:space="preserve">          4304 - SALES RETURN NON TAXABLE-DIGIT</v>
      </c>
      <c r="C70" s="11"/>
      <c r="D70" s="2">
        <f t="shared" si="13"/>
        <v>0</v>
      </c>
      <c r="E70" s="2"/>
      <c r="F70" s="19"/>
      <c r="G70" s="2"/>
      <c r="H70" s="2">
        <f>-5500.68</f>
        <v>-5500.68</v>
      </c>
      <c r="I70" s="2"/>
      <c r="J70" s="19"/>
      <c r="K70" s="2"/>
      <c r="L70" s="2">
        <f t="shared" si="0"/>
        <v>5500.68</v>
      </c>
      <c r="M70" s="2"/>
      <c r="N70" s="19">
        <f t="shared" si="1"/>
        <v>-1</v>
      </c>
      <c r="O70" s="11"/>
      <c r="P70" s="2">
        <f t="shared" si="14"/>
        <v>0</v>
      </c>
      <c r="Q70" s="2"/>
      <c r="R70" s="19"/>
      <c r="S70" s="2"/>
      <c r="T70" s="2">
        <f>-5952.73</f>
        <v>-5952.73</v>
      </c>
      <c r="U70" s="2"/>
      <c r="V70" s="19"/>
      <c r="W70" s="2"/>
      <c r="X70" s="2">
        <f t="shared" si="2"/>
        <v>5952.73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"4340", " - ", "SALES RETURN NON TAXABLE-LOGO")</f>
        <v xml:space="preserve">          4340 - SALES RETURN NON TAXABLE-LOGO</v>
      </c>
      <c r="C71" s="11"/>
      <c r="D71" s="2">
        <f t="shared" si="13"/>
        <v>0</v>
      </c>
      <c r="E71" s="2"/>
      <c r="F71" s="19"/>
      <c r="G71" s="2"/>
      <c r="H71" s="2">
        <f>-69.9</f>
        <v>-69.900000000000006</v>
      </c>
      <c r="I71" s="2"/>
      <c r="J71" s="19"/>
      <c r="K71" s="2"/>
      <c r="L71" s="2">
        <f t="shared" si="0"/>
        <v>69.900000000000006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-504.14</f>
        <v>-504.14</v>
      </c>
      <c r="U71" s="2"/>
      <c r="V71" s="19"/>
      <c r="W71" s="2"/>
      <c r="X71" s="2">
        <f t="shared" si="2"/>
        <v>504.14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"4341", " - ", "SALES RETURN NON TAXABLE-LOGO")</f>
        <v xml:space="preserve">          4341 - SALES RETURN NON TAXABLE-LOGO</v>
      </c>
      <c r="C72" s="11"/>
      <c r="D72" s="2">
        <f t="shared" si="13"/>
        <v>0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0</v>
      </c>
      <c r="M72" s="2"/>
      <c r="N72" s="19">
        <f t="shared" si="1"/>
        <v>0</v>
      </c>
      <c r="O72" s="11"/>
      <c r="P72" s="2">
        <f t="shared" si="14"/>
        <v>0</v>
      </c>
      <c r="Q72" s="2"/>
      <c r="R72" s="19"/>
      <c r="S72" s="2"/>
      <c r="T72" s="2">
        <f>-16.95</f>
        <v>-16.95</v>
      </c>
      <c r="U72" s="2"/>
      <c r="V72" s="19"/>
      <c r="W72" s="2"/>
      <c r="X72" s="2">
        <f t="shared" si="2"/>
        <v>16.95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"4342", " - ", "SALES RETURN NON TAXABLE-EVERY")</f>
        <v xml:space="preserve">          4342 - SALES RETURN NON TAXABLE-EVERY</v>
      </c>
      <c r="C73" s="11"/>
      <c r="D73" s="2">
        <f t="shared" si="13"/>
        <v>0</v>
      </c>
      <c r="E73" s="2"/>
      <c r="F73" s="19"/>
      <c r="G73" s="2"/>
      <c r="H73" s="2">
        <f>-13.9</f>
        <v>-13.9</v>
      </c>
      <c r="I73" s="2"/>
      <c r="J73" s="19"/>
      <c r="K73" s="2"/>
      <c r="L73" s="2">
        <f t="shared" si="0"/>
        <v>13.9</v>
      </c>
      <c r="M73" s="2"/>
      <c r="N73" s="19">
        <f t="shared" si="1"/>
        <v>-1</v>
      </c>
      <c r="O73" s="11"/>
      <c r="P73" s="2">
        <f t="shared" si="14"/>
        <v>0</v>
      </c>
      <c r="Q73" s="2"/>
      <c r="R73" s="19"/>
      <c r="S73" s="2"/>
      <c r="T73" s="2">
        <f>-93.75</f>
        <v>-93.75</v>
      </c>
      <c r="U73" s="2"/>
      <c r="V73" s="19"/>
      <c r="W73" s="2"/>
      <c r="X73" s="2">
        <f t="shared" si="2"/>
        <v>93.75</v>
      </c>
      <c r="Y73" s="2"/>
      <c r="Z73" s="19">
        <f t="shared" si="3"/>
        <v>-1</v>
      </c>
    </row>
    <row r="74" spans="1:26" x14ac:dyDescent="0.3">
      <c r="A74" s="9"/>
      <c r="B74" s="10"/>
      <c r="C74" s="9"/>
      <c r="D74" s="3"/>
      <c r="E74" s="3"/>
      <c r="F74" s="6"/>
      <c r="G74" s="3"/>
      <c r="H74" s="3"/>
      <c r="I74" s="3"/>
      <c r="J74" s="6"/>
      <c r="K74" s="3"/>
      <c r="L74" s="3"/>
      <c r="M74" s="3"/>
      <c r="N74" s="6"/>
      <c r="P74" s="3"/>
      <c r="Q74" s="3"/>
      <c r="R74" s="6"/>
      <c r="S74" s="3"/>
      <c r="T74" s="3"/>
      <c r="U74" s="3"/>
      <c r="V74" s="6"/>
      <c r="W74" s="3"/>
      <c r="X74" s="3"/>
      <c r="Y74" s="3"/>
      <c r="Z74" s="6"/>
    </row>
    <row r="75" spans="1:26" s="23" customFormat="1" collapsed="1" x14ac:dyDescent="0.3">
      <c r="A75" s="10"/>
      <c r="B75" s="26" t="s">
        <v>256</v>
      </c>
      <c r="C75" s="10"/>
      <c r="D75" s="4">
        <f>SUM(OSRRefD16x_0)</f>
        <v>995584.52999999991</v>
      </c>
      <c r="E75" s="4"/>
      <c r="F75" s="12">
        <f t="shared" ref="F75:F109" si="15">IF(D$12=0,0,D75/D$12)</f>
        <v>0.65522277561853426</v>
      </c>
      <c r="G75" s="4"/>
      <c r="H75" s="4">
        <f>SUM(OSRRefH16x_0)</f>
        <v>1079380.2900000003</v>
      </c>
      <c r="I75" s="4"/>
      <c r="J75" s="12">
        <f t="shared" ref="J75:J109" si="16">IF(H$12=0,0,H75/H$12)</f>
        <v>0.6754937319464136</v>
      </c>
      <c r="K75" s="4"/>
      <c r="L75" s="4">
        <f t="shared" ref="L75:L109" si="17">+D75-H75</f>
        <v>-83795.760000000359</v>
      </c>
      <c r="M75" s="4"/>
      <c r="N75" s="12">
        <f t="shared" ref="N75:N109" si="18">IF(H75=0,0,L75/H75)</f>
        <v>-7.763321303560243E-2</v>
      </c>
      <c r="O75" s="10"/>
      <c r="P75" s="4">
        <f>SUM(OSRRefP16x_0)</f>
        <v>1123005.97</v>
      </c>
      <c r="Q75" s="4"/>
      <c r="R75" s="12">
        <f t="shared" ref="R75:R109" si="19">IF(P$12=0,0,P75/P$12)</f>
        <v>0.64542137949885114</v>
      </c>
      <c r="S75" s="4"/>
      <c r="T75" s="4">
        <f>SUM(OSRRefT16x_0)</f>
        <v>1220548.6900000002</v>
      </c>
      <c r="U75" s="4"/>
      <c r="V75" s="12">
        <f t="shared" ref="V75:V109" si="20">IF(T$12=0,0,T75/T$12)</f>
        <v>0.66858119025776541</v>
      </c>
      <c r="W75" s="4"/>
      <c r="X75" s="4">
        <f t="shared" ref="X75:X109" si="21">+P75-T75</f>
        <v>-97542.720000000205</v>
      </c>
      <c r="Y75" s="4"/>
      <c r="Z75" s="12">
        <f t="shared" ref="Z75:Z109" si="22">IF(T75=0,0,X75/T75)</f>
        <v>-7.9917106789078762E-2</v>
      </c>
    </row>
    <row r="76" spans="1:26" s="24" customFormat="1" hidden="1" outlineLevel="1" x14ac:dyDescent="0.3">
      <c r="A76" s="44"/>
      <c r="B76" s="11" t="str">
        <f>CONCATENATE("          ", "5000", " - ", "PURCHASES @ COST")</f>
        <v xml:space="preserve">          5000 - PURCHASES @ COST</v>
      </c>
      <c r="C76" s="11"/>
      <c r="D76" s="2">
        <v>500180.97</v>
      </c>
      <c r="E76" s="2"/>
      <c r="F76" s="19">
        <f t="shared" si="15"/>
        <v>0.32918346318114328</v>
      </c>
      <c r="G76" s="2"/>
      <c r="H76" s="2"/>
      <c r="I76" s="2"/>
      <c r="J76" s="19">
        <f t="shared" si="16"/>
        <v>0</v>
      </c>
      <c r="K76" s="2"/>
      <c r="L76" s="2">
        <f t="shared" si="17"/>
        <v>500180.97</v>
      </c>
      <c r="M76" s="2"/>
      <c r="N76" s="19">
        <f t="shared" si="18"/>
        <v>0</v>
      </c>
      <c r="O76" s="11"/>
      <c r="P76" s="2">
        <v>844954.64</v>
      </c>
      <c r="Q76" s="2"/>
      <c r="R76" s="19">
        <f t="shared" si="19"/>
        <v>0.4856178897809022</v>
      </c>
      <c r="S76" s="2"/>
      <c r="T76" s="2"/>
      <c r="U76" s="2"/>
      <c r="V76" s="19">
        <f t="shared" si="20"/>
        <v>0</v>
      </c>
      <c r="W76" s="2"/>
      <c r="X76" s="2">
        <f t="shared" si="21"/>
        <v>844954.64</v>
      </c>
      <c r="Y76" s="2"/>
      <c r="Z76" s="19">
        <f t="shared" si="22"/>
        <v>0</v>
      </c>
    </row>
    <row r="77" spans="1:26" s="24" customFormat="1" hidden="1" outlineLevel="1" x14ac:dyDescent="0.3">
      <c r="A77" s="44"/>
      <c r="B77" s="11" t="str">
        <f>CONCATENATE("          ", "5001", " - ", "PURCHASES @ COST-NEW TEXT")</f>
        <v xml:space="preserve">          5001 - PURCHASES @ COST-NEW TEXT</v>
      </c>
      <c r="C77" s="11"/>
      <c r="D77" s="2">
        <v>0</v>
      </c>
      <c r="E77" s="2"/>
      <c r="F77" s="19">
        <f t="shared" si="15"/>
        <v>0</v>
      </c>
      <c r="G77" s="2"/>
      <c r="H77" s="2">
        <v>538222.14</v>
      </c>
      <c r="I77" s="2"/>
      <c r="J77" s="19">
        <f t="shared" si="16"/>
        <v>0.33682816458023795</v>
      </c>
      <c r="K77" s="2"/>
      <c r="L77" s="2">
        <f t="shared" si="17"/>
        <v>-538222.14</v>
      </c>
      <c r="M77" s="2"/>
      <c r="N77" s="19">
        <f t="shared" si="18"/>
        <v>-1</v>
      </c>
      <c r="O77" s="11"/>
      <c r="P77" s="2">
        <v>0</v>
      </c>
      <c r="Q77" s="2"/>
      <c r="R77" s="19">
        <f t="shared" si="19"/>
        <v>0</v>
      </c>
      <c r="S77" s="2"/>
      <c r="T77" s="2">
        <v>691332.77</v>
      </c>
      <c r="U77" s="2"/>
      <c r="V77" s="19">
        <f t="shared" si="20"/>
        <v>0.37869205056522404</v>
      </c>
      <c r="W77" s="2"/>
      <c r="X77" s="2">
        <f t="shared" si="21"/>
        <v>-691332.77</v>
      </c>
      <c r="Y77" s="2"/>
      <c r="Z77" s="19">
        <f t="shared" si="22"/>
        <v>-1</v>
      </c>
    </row>
    <row r="78" spans="1:26" s="24" customFormat="1" hidden="1" outlineLevel="1" x14ac:dyDescent="0.3">
      <c r="A78" s="44"/>
      <c r="B78" s="11" t="str">
        <f>CONCATENATE("          ", "5002", " - ", "PURCHASES @ COST-USED TEXT")</f>
        <v xml:space="preserve">          5002 - PURCHASES @ COST-USED TEXT</v>
      </c>
      <c r="C78" s="11"/>
      <c r="D78" s="2">
        <v>0</v>
      </c>
      <c r="E78" s="2"/>
      <c r="F78" s="19">
        <f t="shared" si="15"/>
        <v>0</v>
      </c>
      <c r="G78" s="2"/>
      <c r="H78" s="2">
        <v>128042.67</v>
      </c>
      <c r="I78" s="2"/>
      <c r="J78" s="19">
        <f t="shared" si="16"/>
        <v>8.0131184354573559E-2</v>
      </c>
      <c r="K78" s="2"/>
      <c r="L78" s="2">
        <f t="shared" si="17"/>
        <v>-128042.67</v>
      </c>
      <c r="M78" s="2"/>
      <c r="N78" s="19">
        <f t="shared" si="18"/>
        <v>-1</v>
      </c>
      <c r="O78" s="11"/>
      <c r="P78" s="2">
        <v>0</v>
      </c>
      <c r="Q78" s="2"/>
      <c r="R78" s="19">
        <f t="shared" si="19"/>
        <v>0</v>
      </c>
      <c r="S78" s="2"/>
      <c r="T78" s="2">
        <v>188367.52</v>
      </c>
      <c r="U78" s="2"/>
      <c r="V78" s="19">
        <f t="shared" si="20"/>
        <v>0.10318226692579008</v>
      </c>
      <c r="W78" s="2"/>
      <c r="X78" s="2">
        <f t="shared" si="21"/>
        <v>-188367.52</v>
      </c>
      <c r="Y78" s="2"/>
      <c r="Z78" s="19">
        <f t="shared" si="22"/>
        <v>-1</v>
      </c>
    </row>
    <row r="79" spans="1:26" s="24" customFormat="1" hidden="1" outlineLevel="1" x14ac:dyDescent="0.3">
      <c r="A79" s="44"/>
      <c r="B79" s="11" t="str">
        <f>CONCATENATE("          ", "5003", " - ", "PURCHASES @ COST-RENTAL TEXT")</f>
        <v xml:space="preserve">          5003 - PURCHASES @ COST-RENTAL TEXT</v>
      </c>
      <c r="C79" s="11"/>
      <c r="D79" s="2"/>
      <c r="E79" s="2"/>
      <c r="F79" s="19">
        <f t="shared" si="15"/>
        <v>0</v>
      </c>
      <c r="G79" s="2"/>
      <c r="H79" s="2">
        <v>58.8</v>
      </c>
      <c r="I79" s="2"/>
      <c r="J79" s="19">
        <f t="shared" si="16"/>
        <v>3.6797995855982422E-5</v>
      </c>
      <c r="K79" s="2"/>
      <c r="L79" s="2">
        <f t="shared" si="17"/>
        <v>-58.8</v>
      </c>
      <c r="M79" s="2"/>
      <c r="N79" s="19">
        <f t="shared" si="18"/>
        <v>-1</v>
      </c>
      <c r="O79" s="11"/>
      <c r="P79" s="2"/>
      <c r="Q79" s="2"/>
      <c r="R79" s="19">
        <f t="shared" si="19"/>
        <v>0</v>
      </c>
      <c r="S79" s="2"/>
      <c r="T79" s="2">
        <v>-11867.84</v>
      </c>
      <c r="U79" s="2"/>
      <c r="V79" s="19">
        <f t="shared" si="20"/>
        <v>-6.500858718703568E-3</v>
      </c>
      <c r="W79" s="2"/>
      <c r="X79" s="2">
        <f t="shared" si="21"/>
        <v>11867.84</v>
      </c>
      <c r="Y79" s="2"/>
      <c r="Z79" s="19">
        <f t="shared" si="22"/>
        <v>-1</v>
      </c>
    </row>
    <row r="80" spans="1:26" s="24" customFormat="1" hidden="1" outlineLevel="1" x14ac:dyDescent="0.3">
      <c r="A80" s="44"/>
      <c r="B80" s="11" t="str">
        <f>CONCATENATE("          ", "5004", " - ", "PURCHASES @ COST-DIGITAL TEXT")</f>
        <v xml:space="preserve">          5004 - PURCHASES @ COST-DIGITAL TEXT</v>
      </c>
      <c r="C80" s="11"/>
      <c r="D80" s="2">
        <v>0</v>
      </c>
      <c r="E80" s="2"/>
      <c r="F80" s="19">
        <f t="shared" si="15"/>
        <v>0</v>
      </c>
      <c r="G80" s="2"/>
      <c r="H80" s="2">
        <v>117504.49</v>
      </c>
      <c r="I80" s="2"/>
      <c r="J80" s="19">
        <f t="shared" si="16"/>
        <v>7.3536220001349129E-2</v>
      </c>
      <c r="K80" s="2"/>
      <c r="L80" s="2">
        <f t="shared" si="17"/>
        <v>-117504.49</v>
      </c>
      <c r="M80" s="2"/>
      <c r="N80" s="19">
        <f t="shared" si="18"/>
        <v>-1</v>
      </c>
      <c r="O80" s="11"/>
      <c r="P80" s="2">
        <v>0</v>
      </c>
      <c r="Q80" s="2"/>
      <c r="R80" s="19">
        <f t="shared" si="19"/>
        <v>0</v>
      </c>
      <c r="S80" s="2"/>
      <c r="T80" s="2">
        <v>122429.97</v>
      </c>
      <c r="U80" s="2"/>
      <c r="V80" s="19">
        <f t="shared" si="20"/>
        <v>6.706358847988482E-2</v>
      </c>
      <c r="W80" s="2"/>
      <c r="X80" s="2">
        <f t="shared" si="21"/>
        <v>-122429.97</v>
      </c>
      <c r="Y80" s="2"/>
      <c r="Z80" s="19">
        <f t="shared" si="22"/>
        <v>-1</v>
      </c>
    </row>
    <row r="81" spans="1:26" s="24" customFormat="1" hidden="1" outlineLevel="1" x14ac:dyDescent="0.3">
      <c r="A81" s="44"/>
      <c r="B81" s="11" t="str">
        <f>CONCATENATE("          ", "5013", " - ", "PURCHASES @ COST-TRADE BOOKS")</f>
        <v xml:space="preserve">          5013 - PURCHASES @ COST-TRADE BOOKS</v>
      </c>
      <c r="C81" s="11"/>
      <c r="D81" s="2"/>
      <c r="E81" s="2"/>
      <c r="F81" s="19">
        <f t="shared" si="15"/>
        <v>0</v>
      </c>
      <c r="G81" s="2"/>
      <c r="H81" s="2"/>
      <c r="I81" s="2"/>
      <c r="J81" s="19">
        <f t="shared" si="16"/>
        <v>0</v>
      </c>
      <c r="K81" s="2"/>
      <c r="L81" s="2">
        <f t="shared" si="17"/>
        <v>0</v>
      </c>
      <c r="M81" s="2"/>
      <c r="N81" s="19">
        <f t="shared" si="18"/>
        <v>0</v>
      </c>
      <c r="O81" s="11"/>
      <c r="P81" s="2"/>
      <c r="Q81" s="2"/>
      <c r="R81" s="19">
        <f t="shared" si="19"/>
        <v>0</v>
      </c>
      <c r="S81" s="2"/>
      <c r="T81" s="2">
        <v>108.54</v>
      </c>
      <c r="U81" s="2"/>
      <c r="V81" s="19">
        <f t="shared" si="20"/>
        <v>5.9455065566108518E-5</v>
      </c>
      <c r="W81" s="2"/>
      <c r="X81" s="2">
        <f t="shared" si="21"/>
        <v>-108.54</v>
      </c>
      <c r="Y81" s="2"/>
      <c r="Z81" s="19">
        <f t="shared" si="22"/>
        <v>-1</v>
      </c>
    </row>
    <row r="82" spans="1:26" s="24" customFormat="1" hidden="1" outlineLevel="1" x14ac:dyDescent="0.3">
      <c r="A82" s="44"/>
      <c r="B82" s="11" t="str">
        <f>CONCATENATE("          ", "5014", " - ", "PURCHASES @ COST-REMAINDERS")</f>
        <v xml:space="preserve">          5014 - PURCHASES @ COST-REMAINDERS</v>
      </c>
      <c r="C82" s="11"/>
      <c r="D82" s="2"/>
      <c r="E82" s="2"/>
      <c r="F82" s="19">
        <f t="shared" si="15"/>
        <v>0</v>
      </c>
      <c r="G82" s="2"/>
      <c r="H82" s="2"/>
      <c r="I82" s="2"/>
      <c r="J82" s="19">
        <f t="shared" si="16"/>
        <v>0</v>
      </c>
      <c r="K82" s="2"/>
      <c r="L82" s="2">
        <f t="shared" si="17"/>
        <v>0</v>
      </c>
      <c r="M82" s="2"/>
      <c r="N82" s="19">
        <f t="shared" si="18"/>
        <v>0</v>
      </c>
      <c r="O82" s="11"/>
      <c r="P82" s="2"/>
      <c r="Q82" s="2"/>
      <c r="R82" s="19">
        <f t="shared" si="19"/>
        <v>0</v>
      </c>
      <c r="S82" s="2"/>
      <c r="T82" s="2">
        <v>-12.51</v>
      </c>
      <c r="U82" s="2"/>
      <c r="V82" s="19">
        <f t="shared" si="20"/>
        <v>-6.8526153513176472E-6</v>
      </c>
      <c r="W82" s="2"/>
      <c r="X82" s="2">
        <f t="shared" si="21"/>
        <v>12.51</v>
      </c>
      <c r="Y82" s="2"/>
      <c r="Z82" s="19">
        <f t="shared" si="22"/>
        <v>-1</v>
      </c>
    </row>
    <row r="83" spans="1:26" s="24" customFormat="1" hidden="1" outlineLevel="1" x14ac:dyDescent="0.3">
      <c r="A83" s="44"/>
      <c r="B83" s="11" t="str">
        <f>CONCATENATE("          ", "5026", " - ", "PURCHASES @ COST-WRITING INSTR")</f>
        <v xml:space="preserve">          5026 - PURCHASES @ COST-WRITING INSTR</v>
      </c>
      <c r="C83" s="11"/>
      <c r="D83" s="2">
        <v>0</v>
      </c>
      <c r="E83" s="2"/>
      <c r="F83" s="19">
        <f t="shared" si="15"/>
        <v>0</v>
      </c>
      <c r="G83" s="2"/>
      <c r="H83" s="2"/>
      <c r="I83" s="2"/>
      <c r="J83" s="19">
        <f t="shared" si="16"/>
        <v>0</v>
      </c>
      <c r="K83" s="2"/>
      <c r="L83" s="2">
        <f t="shared" si="17"/>
        <v>0</v>
      </c>
      <c r="M83" s="2"/>
      <c r="N83" s="19">
        <f t="shared" si="18"/>
        <v>0</v>
      </c>
      <c r="O83" s="11"/>
      <c r="P83" s="2">
        <v>0</v>
      </c>
      <c r="Q83" s="2"/>
      <c r="R83" s="19">
        <f t="shared" si="19"/>
        <v>0</v>
      </c>
      <c r="S83" s="2"/>
      <c r="T83" s="2"/>
      <c r="U83" s="2"/>
      <c r="V83" s="19">
        <f t="shared" si="20"/>
        <v>0</v>
      </c>
      <c r="W83" s="2"/>
      <c r="X83" s="2">
        <f t="shared" si="21"/>
        <v>0</v>
      </c>
      <c r="Y83" s="2"/>
      <c r="Z83" s="19">
        <f t="shared" si="22"/>
        <v>0</v>
      </c>
    </row>
    <row r="84" spans="1:26" s="24" customFormat="1" hidden="1" outlineLevel="1" x14ac:dyDescent="0.3">
      <c r="A84" s="44"/>
      <c r="B84" s="11" t="str">
        <f>CONCATENATE("          ", "5027", " - ", "PURCHASES @ COST-SCHOOL SUPPLI")</f>
        <v xml:space="preserve">          5027 - PURCHASES @ COST-SCHOOL SUPPLI</v>
      </c>
      <c r="C84" s="11"/>
      <c r="D84" s="2">
        <v>0</v>
      </c>
      <c r="E84" s="2"/>
      <c r="F84" s="19">
        <f t="shared" si="15"/>
        <v>0</v>
      </c>
      <c r="G84" s="2"/>
      <c r="H84" s="2"/>
      <c r="I84" s="2"/>
      <c r="J84" s="19">
        <f t="shared" si="16"/>
        <v>0</v>
      </c>
      <c r="K84" s="2"/>
      <c r="L84" s="2">
        <f t="shared" si="17"/>
        <v>0</v>
      </c>
      <c r="M84" s="2"/>
      <c r="N84" s="19">
        <f t="shared" si="18"/>
        <v>0</v>
      </c>
      <c r="O84" s="11"/>
      <c r="P84" s="2">
        <v>0</v>
      </c>
      <c r="Q84" s="2"/>
      <c r="R84" s="19">
        <f t="shared" si="19"/>
        <v>0</v>
      </c>
      <c r="S84" s="2"/>
      <c r="T84" s="2">
        <v>8503.4</v>
      </c>
      <c r="U84" s="2"/>
      <c r="V84" s="19">
        <f t="shared" si="20"/>
        <v>4.6579160174575925E-3</v>
      </c>
      <c r="W84" s="2"/>
      <c r="X84" s="2">
        <f t="shared" si="21"/>
        <v>-8503.4</v>
      </c>
      <c r="Y84" s="2"/>
      <c r="Z84" s="19">
        <f t="shared" si="22"/>
        <v>-1</v>
      </c>
    </row>
    <row r="85" spans="1:26" s="24" customFormat="1" hidden="1" outlineLevel="1" x14ac:dyDescent="0.3">
      <c r="A85" s="44"/>
      <c r="B85" s="11" t="str">
        <f>CONCATENATE("          ", "5028", " - ", "PURCHASES @ COST-ART/TECH")</f>
        <v xml:space="preserve">          5028 - PURCHASES @ COST-ART/TECH</v>
      </c>
      <c r="C85" s="11"/>
      <c r="D85" s="2">
        <v>0</v>
      </c>
      <c r="E85" s="2"/>
      <c r="F85" s="19">
        <f t="shared" si="15"/>
        <v>0</v>
      </c>
      <c r="G85" s="2"/>
      <c r="H85" s="2"/>
      <c r="I85" s="2"/>
      <c r="J85" s="19">
        <f t="shared" si="16"/>
        <v>0</v>
      </c>
      <c r="K85" s="2"/>
      <c r="L85" s="2">
        <f t="shared" si="17"/>
        <v>0</v>
      </c>
      <c r="M85" s="2"/>
      <c r="N85" s="19">
        <f t="shared" si="18"/>
        <v>0</v>
      </c>
      <c r="O85" s="11"/>
      <c r="P85" s="2">
        <v>0</v>
      </c>
      <c r="Q85" s="2"/>
      <c r="R85" s="19">
        <f t="shared" si="19"/>
        <v>0</v>
      </c>
      <c r="S85" s="2"/>
      <c r="T85" s="2"/>
      <c r="U85" s="2"/>
      <c r="V85" s="19">
        <f t="shared" si="20"/>
        <v>0</v>
      </c>
      <c r="W85" s="2"/>
      <c r="X85" s="2">
        <f t="shared" si="21"/>
        <v>0</v>
      </c>
      <c r="Y85" s="2"/>
      <c r="Z85" s="19">
        <f t="shared" si="22"/>
        <v>0</v>
      </c>
    </row>
    <row r="86" spans="1:26" s="24" customFormat="1" hidden="1" outlineLevel="1" x14ac:dyDescent="0.3">
      <c r="A86" s="44"/>
      <c r="B86" s="11" t="str">
        <f>CONCATENATE("          ", "5031", " - ", "PURCHASES @ COST-FOOD")</f>
        <v xml:space="preserve">          5031 - PURCHASES @ COST-FOOD</v>
      </c>
      <c r="C86" s="11"/>
      <c r="D86" s="2">
        <v>0</v>
      </c>
      <c r="E86" s="2"/>
      <c r="F86" s="19">
        <f t="shared" si="15"/>
        <v>0</v>
      </c>
      <c r="G86" s="2"/>
      <c r="H86" s="2">
        <v>0</v>
      </c>
      <c r="I86" s="2"/>
      <c r="J86" s="19">
        <f t="shared" si="16"/>
        <v>0</v>
      </c>
      <c r="K86" s="2"/>
      <c r="L86" s="2">
        <f t="shared" si="17"/>
        <v>0</v>
      </c>
      <c r="M86" s="2"/>
      <c r="N86" s="19">
        <f t="shared" si="18"/>
        <v>0</v>
      </c>
      <c r="O86" s="11"/>
      <c r="P86" s="2">
        <v>0</v>
      </c>
      <c r="Q86" s="2"/>
      <c r="R86" s="19">
        <f t="shared" si="19"/>
        <v>0</v>
      </c>
      <c r="S86" s="2"/>
      <c r="T86" s="2">
        <v>0</v>
      </c>
      <c r="U86" s="2"/>
      <c r="V86" s="19">
        <f t="shared" si="20"/>
        <v>0</v>
      </c>
      <c r="W86" s="2"/>
      <c r="X86" s="2">
        <f t="shared" si="21"/>
        <v>0</v>
      </c>
      <c r="Y86" s="2"/>
      <c r="Z86" s="19">
        <f t="shared" si="22"/>
        <v>0</v>
      </c>
    </row>
    <row r="87" spans="1:26" s="24" customFormat="1" hidden="1" outlineLevel="1" x14ac:dyDescent="0.3">
      <c r="A87" s="44"/>
      <c r="B87" s="11" t="str">
        <f>CONCATENATE("          ", "5040", " - ", "PURCHASES @ COST-LOGO CLOTHING")</f>
        <v xml:space="preserve">          5040 - PURCHASES @ COST-LOGO CLOTHING</v>
      </c>
      <c r="C87" s="11"/>
      <c r="D87" s="2">
        <v>0</v>
      </c>
      <c r="E87" s="2"/>
      <c r="F87" s="19">
        <f t="shared" si="15"/>
        <v>0</v>
      </c>
      <c r="G87" s="2"/>
      <c r="H87" s="2">
        <v>7628.83</v>
      </c>
      <c r="I87" s="2"/>
      <c r="J87" s="19">
        <f t="shared" si="16"/>
        <v>4.7742458286733737E-3</v>
      </c>
      <c r="K87" s="2"/>
      <c r="L87" s="2">
        <f t="shared" si="17"/>
        <v>-7628.83</v>
      </c>
      <c r="M87" s="2"/>
      <c r="N87" s="19">
        <f t="shared" si="18"/>
        <v>-1</v>
      </c>
      <c r="O87" s="11"/>
      <c r="P87" s="2">
        <v>0</v>
      </c>
      <c r="Q87" s="2"/>
      <c r="R87" s="19">
        <f t="shared" si="19"/>
        <v>0</v>
      </c>
      <c r="S87" s="2"/>
      <c r="T87" s="2">
        <v>9351.9</v>
      </c>
      <c r="U87" s="2"/>
      <c r="V87" s="19">
        <f t="shared" si="20"/>
        <v>5.1226997205425662E-3</v>
      </c>
      <c r="W87" s="2"/>
      <c r="X87" s="2">
        <f t="shared" si="21"/>
        <v>-9351.9</v>
      </c>
      <c r="Y87" s="2"/>
      <c r="Z87" s="19">
        <f t="shared" si="22"/>
        <v>-1</v>
      </c>
    </row>
    <row r="88" spans="1:26" s="24" customFormat="1" hidden="1" outlineLevel="1" x14ac:dyDescent="0.3">
      <c r="A88" s="44"/>
      <c r="B88" s="11" t="str">
        <f>CONCATENATE("          ", "5041", " - ", "PURCHASES @ COST-LOGO GIFTS")</f>
        <v xml:space="preserve">          5041 - PURCHASES @ COST-LOGO GIFTS</v>
      </c>
      <c r="C88" s="11"/>
      <c r="D88" s="2">
        <v>0</v>
      </c>
      <c r="E88" s="2"/>
      <c r="F88" s="19">
        <f t="shared" si="15"/>
        <v>0</v>
      </c>
      <c r="G88" s="2"/>
      <c r="H88" s="2">
        <v>1843.29</v>
      </c>
      <c r="I88" s="2"/>
      <c r="J88" s="19">
        <f t="shared" si="16"/>
        <v>1.1535608466220041E-3</v>
      </c>
      <c r="K88" s="2"/>
      <c r="L88" s="2">
        <f t="shared" si="17"/>
        <v>-1843.29</v>
      </c>
      <c r="M88" s="2"/>
      <c r="N88" s="19">
        <f t="shared" si="18"/>
        <v>-1</v>
      </c>
      <c r="O88" s="11"/>
      <c r="P88" s="2">
        <v>0</v>
      </c>
      <c r="Q88" s="2"/>
      <c r="R88" s="19">
        <f t="shared" si="19"/>
        <v>0</v>
      </c>
      <c r="S88" s="2"/>
      <c r="T88" s="2">
        <v>1129.54</v>
      </c>
      <c r="U88" s="2"/>
      <c r="V88" s="19">
        <f t="shared" si="20"/>
        <v>6.1872926809970709E-4</v>
      </c>
      <c r="W88" s="2"/>
      <c r="X88" s="2">
        <f t="shared" si="21"/>
        <v>-1129.54</v>
      </c>
      <c r="Y88" s="2"/>
      <c r="Z88" s="19">
        <f t="shared" si="22"/>
        <v>-1</v>
      </c>
    </row>
    <row r="89" spans="1:26" s="24" customFormat="1" hidden="1" outlineLevel="1" x14ac:dyDescent="0.3">
      <c r="A89" s="44"/>
      <c r="B89" s="11" t="str">
        <f>CONCATENATE("          ", "5042", " - ", "PURCHASES @ COST-EVERYDAY GIFT")</f>
        <v xml:space="preserve">          5042 - PURCHASES @ COST-EVERYDAY GIFT</v>
      </c>
      <c r="C89" s="11"/>
      <c r="D89" s="2">
        <v>0</v>
      </c>
      <c r="E89" s="2"/>
      <c r="F89" s="19">
        <f t="shared" si="15"/>
        <v>0</v>
      </c>
      <c r="G89" s="2"/>
      <c r="H89" s="2">
        <v>732.99</v>
      </c>
      <c r="I89" s="2"/>
      <c r="J89" s="19">
        <f t="shared" si="16"/>
        <v>4.587170575251115E-4</v>
      </c>
      <c r="K89" s="2"/>
      <c r="L89" s="2">
        <f t="shared" si="17"/>
        <v>-732.99</v>
      </c>
      <c r="M89" s="2"/>
      <c r="N89" s="19">
        <f t="shared" si="18"/>
        <v>-1</v>
      </c>
      <c r="O89" s="11"/>
      <c r="P89" s="2">
        <v>0</v>
      </c>
      <c r="Q89" s="2"/>
      <c r="R89" s="19">
        <f t="shared" si="19"/>
        <v>0</v>
      </c>
      <c r="S89" s="2"/>
      <c r="T89" s="2">
        <v>969.15</v>
      </c>
      <c r="U89" s="2"/>
      <c r="V89" s="19">
        <f t="shared" si="20"/>
        <v>5.3087227559788159E-4</v>
      </c>
      <c r="W89" s="2"/>
      <c r="X89" s="2">
        <f t="shared" si="21"/>
        <v>-969.15</v>
      </c>
      <c r="Y89" s="2"/>
      <c r="Z89" s="19">
        <f t="shared" si="22"/>
        <v>-1</v>
      </c>
    </row>
    <row r="90" spans="1:26" s="24" customFormat="1" hidden="1" outlineLevel="1" x14ac:dyDescent="0.3">
      <c r="A90" s="44"/>
      <c r="B90" s="11" t="str">
        <f>CONCATENATE("          ", "5043", " - ", "PURCHASES @ COST-CARDS")</f>
        <v xml:space="preserve">          5043 - PURCHASES @ COST-CARDS</v>
      </c>
      <c r="C90" s="11"/>
      <c r="D90" s="2">
        <v>0</v>
      </c>
      <c r="E90" s="2"/>
      <c r="F90" s="19">
        <f t="shared" si="15"/>
        <v>0</v>
      </c>
      <c r="G90" s="2"/>
      <c r="H90" s="2">
        <v>1406.55</v>
      </c>
      <c r="I90" s="2"/>
      <c r="J90" s="19">
        <f t="shared" si="16"/>
        <v>8.8024185495292652E-4</v>
      </c>
      <c r="K90" s="2"/>
      <c r="L90" s="2">
        <f t="shared" si="17"/>
        <v>-1406.55</v>
      </c>
      <c r="M90" s="2"/>
      <c r="N90" s="19">
        <f t="shared" si="18"/>
        <v>-1</v>
      </c>
      <c r="O90" s="11"/>
      <c r="P90" s="2">
        <v>0</v>
      </c>
      <c r="Q90" s="2"/>
      <c r="R90" s="19">
        <f t="shared" si="19"/>
        <v>0</v>
      </c>
      <c r="S90" s="2"/>
      <c r="T90" s="2">
        <v>1715.25</v>
      </c>
      <c r="U90" s="2"/>
      <c r="V90" s="19">
        <f t="shared" si="20"/>
        <v>9.3956422712610671E-4</v>
      </c>
      <c r="W90" s="2"/>
      <c r="X90" s="2">
        <f t="shared" si="21"/>
        <v>-1715.25</v>
      </c>
      <c r="Y90" s="2"/>
      <c r="Z90" s="19">
        <f t="shared" si="22"/>
        <v>-1</v>
      </c>
    </row>
    <row r="91" spans="1:26" s="24" customFormat="1" hidden="1" outlineLevel="1" x14ac:dyDescent="0.3">
      <c r="A91" s="44"/>
      <c r="B91" s="11" t="str">
        <f>CONCATENATE("          ", "5044", " - ", "PURCHASES @ COST-ACCESSORIES")</f>
        <v xml:space="preserve">          5044 - PURCHASES @ COST-ACCESSORIES</v>
      </c>
      <c r="C91" s="11"/>
      <c r="D91" s="2">
        <v>0</v>
      </c>
      <c r="E91" s="2"/>
      <c r="F91" s="19">
        <f t="shared" si="15"/>
        <v>0</v>
      </c>
      <c r="G91" s="2"/>
      <c r="H91" s="2"/>
      <c r="I91" s="2"/>
      <c r="J91" s="19">
        <f t="shared" si="16"/>
        <v>0</v>
      </c>
      <c r="K91" s="2"/>
      <c r="L91" s="2">
        <f t="shared" si="17"/>
        <v>0</v>
      </c>
      <c r="M91" s="2"/>
      <c r="N91" s="19">
        <f t="shared" si="18"/>
        <v>0</v>
      </c>
      <c r="O91" s="11"/>
      <c r="P91" s="2">
        <v>0</v>
      </c>
      <c r="Q91" s="2"/>
      <c r="R91" s="19">
        <f t="shared" si="19"/>
        <v>0</v>
      </c>
      <c r="S91" s="2"/>
      <c r="T91" s="2"/>
      <c r="U91" s="2"/>
      <c r="V91" s="19">
        <f t="shared" si="20"/>
        <v>0</v>
      </c>
      <c r="W91" s="2"/>
      <c r="X91" s="2">
        <f t="shared" si="21"/>
        <v>0</v>
      </c>
      <c r="Y91" s="2"/>
      <c r="Z91" s="19">
        <f t="shared" si="22"/>
        <v>0</v>
      </c>
    </row>
    <row r="92" spans="1:26" s="24" customFormat="1" hidden="1" outlineLevel="1" x14ac:dyDescent="0.3">
      <c r="A92" s="44"/>
      <c r="B92" s="11" t="str">
        <f>CONCATENATE("          ", "5045", " - ", "PURCHASES @ COST-SPECIAL ORDER")</f>
        <v xml:space="preserve">          5045 - PURCHASES @ COST-SPECIAL ORDER</v>
      </c>
      <c r="C92" s="11"/>
      <c r="D92" s="2">
        <v>0</v>
      </c>
      <c r="E92" s="2"/>
      <c r="F92" s="19">
        <f t="shared" si="15"/>
        <v>0</v>
      </c>
      <c r="G92" s="2"/>
      <c r="H92" s="2">
        <v>5633.96</v>
      </c>
      <c r="I92" s="2"/>
      <c r="J92" s="19">
        <f t="shared" si="16"/>
        <v>3.5258237539586863E-3</v>
      </c>
      <c r="K92" s="2"/>
      <c r="L92" s="2">
        <f t="shared" si="17"/>
        <v>-5633.96</v>
      </c>
      <c r="M92" s="2"/>
      <c r="N92" s="19">
        <f t="shared" si="18"/>
        <v>-1</v>
      </c>
      <c r="O92" s="11"/>
      <c r="P92" s="2">
        <v>0</v>
      </c>
      <c r="Q92" s="2"/>
      <c r="R92" s="19">
        <f t="shared" si="19"/>
        <v>0</v>
      </c>
      <c r="S92" s="2"/>
      <c r="T92" s="2">
        <v>8390.17</v>
      </c>
      <c r="U92" s="2"/>
      <c r="V92" s="19">
        <f t="shared" si="20"/>
        <v>4.5958919058485042E-3</v>
      </c>
      <c r="W92" s="2"/>
      <c r="X92" s="2">
        <f t="shared" si="21"/>
        <v>-8390.17</v>
      </c>
      <c r="Y92" s="2"/>
      <c r="Z92" s="19">
        <f t="shared" si="22"/>
        <v>-1</v>
      </c>
    </row>
    <row r="93" spans="1:26" s="24" customFormat="1" hidden="1" outlineLevel="1" x14ac:dyDescent="0.3">
      <c r="A93" s="44"/>
      <c r="B93" s="11" t="str">
        <f>CONCATENATE("          ", "5053", " - ", "PURCHASES @ COST-FOOD")</f>
        <v xml:space="preserve">          5053 - PURCHASES @ COST-FOOD</v>
      </c>
      <c r="C93" s="11"/>
      <c r="D93" s="2">
        <v>14985.56</v>
      </c>
      <c r="E93" s="2"/>
      <c r="F93" s="19">
        <f t="shared" si="15"/>
        <v>9.8624274700191278E-3</v>
      </c>
      <c r="G93" s="2"/>
      <c r="H93" s="2">
        <v>-2111.6799999999998</v>
      </c>
      <c r="I93" s="2"/>
      <c r="J93" s="19">
        <f t="shared" si="16"/>
        <v>-1.3215236715843702E-3</v>
      </c>
      <c r="K93" s="2"/>
      <c r="L93" s="2">
        <f t="shared" si="17"/>
        <v>17097.239999999998</v>
      </c>
      <c r="M93" s="2"/>
      <c r="N93" s="19">
        <f t="shared" si="18"/>
        <v>-8.0965108349749961</v>
      </c>
      <c r="O93" s="11"/>
      <c r="P93" s="2">
        <v>14985.56</v>
      </c>
      <c r="Q93" s="2"/>
      <c r="R93" s="19">
        <f t="shared" si="19"/>
        <v>8.61259963539001E-3</v>
      </c>
      <c r="S93" s="2"/>
      <c r="T93" s="2">
        <v>-2338.5500000000002</v>
      </c>
      <c r="U93" s="2"/>
      <c r="V93" s="19">
        <f t="shared" si="20"/>
        <v>-1.2809898984671372E-3</v>
      </c>
      <c r="W93" s="2"/>
      <c r="X93" s="2">
        <f t="shared" si="21"/>
        <v>17324.11</v>
      </c>
      <c r="Y93" s="2"/>
      <c r="Z93" s="19">
        <f t="shared" si="22"/>
        <v>-7.408056274186996</v>
      </c>
    </row>
    <row r="94" spans="1:26" s="24" customFormat="1" hidden="1" outlineLevel="1" x14ac:dyDescent="0.3">
      <c r="A94" s="44"/>
      <c r="B94" s="11" t="str">
        <f>CONCATENATE("          ", "5059", " - ", "PURCHASES @ COST-FOOD")</f>
        <v xml:space="preserve">          5059 - PURCHASES @ COST-FOOD</v>
      </c>
      <c r="C94" s="11"/>
      <c r="D94" s="2">
        <v>-11739</v>
      </c>
      <c r="E94" s="2"/>
      <c r="F94" s="19">
        <f t="shared" si="15"/>
        <v>-7.725773082257489E-3</v>
      </c>
      <c r="G94" s="2"/>
      <c r="H94" s="2">
        <v>68.91</v>
      </c>
      <c r="I94" s="2"/>
      <c r="J94" s="19">
        <f t="shared" si="16"/>
        <v>4.3124998204689604E-5</v>
      </c>
      <c r="K94" s="2"/>
      <c r="L94" s="2">
        <f t="shared" si="17"/>
        <v>-11807.91</v>
      </c>
      <c r="M94" s="2"/>
      <c r="N94" s="19">
        <f t="shared" si="18"/>
        <v>-171.35263387026558</v>
      </c>
      <c r="O94" s="11"/>
      <c r="P94" s="2">
        <v>-11739</v>
      </c>
      <c r="Q94" s="2"/>
      <c r="R94" s="19">
        <f t="shared" si="19"/>
        <v>-6.7467153125971482E-3</v>
      </c>
      <c r="S94" s="2"/>
      <c r="T94" s="2">
        <v>68.91</v>
      </c>
      <c r="U94" s="2"/>
      <c r="V94" s="19">
        <f t="shared" si="20"/>
        <v>3.7746900388433178E-5</v>
      </c>
      <c r="W94" s="2"/>
      <c r="X94" s="2">
        <f t="shared" si="21"/>
        <v>-11807.91</v>
      </c>
      <c r="Y94" s="2"/>
      <c r="Z94" s="19">
        <f t="shared" si="22"/>
        <v>-171.35263387026558</v>
      </c>
    </row>
    <row r="95" spans="1:26" s="24" customFormat="1" hidden="1" outlineLevel="1" x14ac:dyDescent="0.3">
      <c r="A95" s="44"/>
      <c r="B95" s="11" t="str">
        <f>CONCATENATE("          ", "5092", " - ", "PURCHASES @ COST-GRAD MERCH")</f>
        <v xml:space="preserve">          5092 - PURCHASES @ COST-GRAD MERCH</v>
      </c>
      <c r="C95" s="11"/>
      <c r="D95" s="2"/>
      <c r="E95" s="2"/>
      <c r="F95" s="19">
        <f t="shared" si="15"/>
        <v>0</v>
      </c>
      <c r="G95" s="2"/>
      <c r="H95" s="2"/>
      <c r="I95" s="2"/>
      <c r="J95" s="19">
        <f t="shared" si="16"/>
        <v>0</v>
      </c>
      <c r="K95" s="2"/>
      <c r="L95" s="2">
        <f t="shared" si="17"/>
        <v>0</v>
      </c>
      <c r="M95" s="2"/>
      <c r="N95" s="19">
        <f t="shared" si="18"/>
        <v>0</v>
      </c>
      <c r="O95" s="11"/>
      <c r="P95" s="2"/>
      <c r="Q95" s="2"/>
      <c r="R95" s="19">
        <f t="shared" si="19"/>
        <v>0</v>
      </c>
      <c r="S95" s="2"/>
      <c r="T95" s="2">
        <v>0</v>
      </c>
      <c r="U95" s="2"/>
      <c r="V95" s="19">
        <f t="shared" si="20"/>
        <v>0</v>
      </c>
      <c r="W95" s="2"/>
      <c r="X95" s="2">
        <f t="shared" si="21"/>
        <v>0</v>
      </c>
      <c r="Y95" s="2"/>
      <c r="Z95" s="19">
        <f t="shared" si="22"/>
        <v>0</v>
      </c>
    </row>
    <row r="96" spans="1:26" s="24" customFormat="1" hidden="1" outlineLevel="1" x14ac:dyDescent="0.3">
      <c r="A96" s="44"/>
      <c r="B96" s="11" t="str">
        <f>CONCATENATE("          ", "5200", " - ", "PURCHASES OFFSET")</f>
        <v xml:space="preserve">          5200 - PURCHASES OFFSET</v>
      </c>
      <c r="C96" s="11"/>
      <c r="D96" s="2">
        <v>-303819.98</v>
      </c>
      <c r="E96" s="2"/>
      <c r="F96" s="19">
        <f t="shared" si="15"/>
        <v>-0.19995265553590669</v>
      </c>
      <c r="G96" s="2"/>
      <c r="H96" s="2">
        <v>-497237.3</v>
      </c>
      <c r="I96" s="2"/>
      <c r="J96" s="19">
        <f t="shared" si="16"/>
        <v>-0.31117918545646067</v>
      </c>
      <c r="K96" s="2"/>
      <c r="L96" s="2">
        <f t="shared" si="17"/>
        <v>193417.32</v>
      </c>
      <c r="M96" s="2"/>
      <c r="N96" s="19">
        <f t="shared" si="18"/>
        <v>-0.38898393181686092</v>
      </c>
      <c r="O96" s="11"/>
      <c r="P96" s="2">
        <v>-650168.65</v>
      </c>
      <c r="Q96" s="2"/>
      <c r="R96" s="19">
        <f t="shared" si="19"/>
        <v>-0.37366920408259785</v>
      </c>
      <c r="S96" s="2"/>
      <c r="T96" s="2">
        <v>-713002.58</v>
      </c>
      <c r="U96" s="2"/>
      <c r="V96" s="19">
        <f t="shared" si="20"/>
        <v>-0.39056214430352432</v>
      </c>
      <c r="W96" s="2"/>
      <c r="X96" s="2">
        <f t="shared" si="21"/>
        <v>62833.929999999935</v>
      </c>
      <c r="Y96" s="2"/>
      <c r="Z96" s="19">
        <f t="shared" si="22"/>
        <v>-8.8125810147839767E-2</v>
      </c>
    </row>
    <row r="97" spans="1:26" s="24" customFormat="1" hidden="1" outlineLevel="1" x14ac:dyDescent="0.3">
      <c r="A97" s="44"/>
      <c r="B97" s="11" t="str">
        <f>CONCATENATE("          ", "5300", " - ", "COG$ OFFSET")</f>
        <v xml:space="preserve">          5300 - COG$ OFFSET</v>
      </c>
      <c r="C97" s="11"/>
      <c r="D97" s="2">
        <v>789387.34</v>
      </c>
      <c r="E97" s="2"/>
      <c r="F97" s="19">
        <f t="shared" si="15"/>
        <v>0.51951848222564445</v>
      </c>
      <c r="G97" s="2"/>
      <c r="H97" s="2">
        <v>770429</v>
      </c>
      <c r="I97" s="2"/>
      <c r="J97" s="19">
        <f t="shared" si="16"/>
        <v>0.48214699233552183</v>
      </c>
      <c r="K97" s="2"/>
      <c r="L97" s="2">
        <f t="shared" si="17"/>
        <v>18958.339999999967</v>
      </c>
      <c r="M97" s="2"/>
      <c r="N97" s="19">
        <f t="shared" si="18"/>
        <v>2.4607510880301713E-2</v>
      </c>
      <c r="O97" s="11"/>
      <c r="P97" s="2">
        <v>914798.75</v>
      </c>
      <c r="Q97" s="2"/>
      <c r="R97" s="19">
        <f t="shared" si="19"/>
        <v>0.52575915619471258</v>
      </c>
      <c r="S97" s="2"/>
      <c r="T97" s="2">
        <v>906057</v>
      </c>
      <c r="U97" s="2"/>
      <c r="V97" s="19">
        <f t="shared" si="20"/>
        <v>0.49631175918215936</v>
      </c>
      <c r="W97" s="2"/>
      <c r="X97" s="2">
        <f t="shared" si="21"/>
        <v>8741.75</v>
      </c>
      <c r="Y97" s="2"/>
      <c r="Z97" s="19">
        <f t="shared" si="22"/>
        <v>9.6481236831678363E-3</v>
      </c>
    </row>
    <row r="98" spans="1:26" s="24" customFormat="1" hidden="1" outlineLevel="1" x14ac:dyDescent="0.3">
      <c r="A98" s="44"/>
      <c r="B98" s="11" t="str">
        <f>CONCATENATE("          ", "5500", " - ", "FREIGHT-IN")</f>
        <v xml:space="preserve">          5500 - FREIGHT-IN</v>
      </c>
      <c r="C98" s="11"/>
      <c r="D98" s="2">
        <v>6589.64</v>
      </c>
      <c r="E98" s="2"/>
      <c r="F98" s="19">
        <f t="shared" si="15"/>
        <v>4.3368313598915785E-3</v>
      </c>
      <c r="G98" s="2"/>
      <c r="H98" s="2">
        <v>0</v>
      </c>
      <c r="I98" s="2"/>
      <c r="J98" s="19">
        <f t="shared" si="16"/>
        <v>0</v>
      </c>
      <c r="K98" s="2"/>
      <c r="L98" s="2">
        <f t="shared" si="17"/>
        <v>6589.64</v>
      </c>
      <c r="M98" s="2"/>
      <c r="N98" s="19">
        <f t="shared" si="18"/>
        <v>0</v>
      </c>
      <c r="O98" s="11"/>
      <c r="P98" s="2">
        <v>10174.67</v>
      </c>
      <c r="Q98" s="2"/>
      <c r="R98" s="19">
        <f t="shared" si="19"/>
        <v>5.8476532830413859E-3</v>
      </c>
      <c r="S98" s="2"/>
      <c r="T98" s="2">
        <v>0</v>
      </c>
      <c r="U98" s="2"/>
      <c r="V98" s="19">
        <f t="shared" si="20"/>
        <v>0</v>
      </c>
      <c r="W98" s="2"/>
      <c r="X98" s="2">
        <f t="shared" si="21"/>
        <v>10174.67</v>
      </c>
      <c r="Y98" s="2"/>
      <c r="Z98" s="19">
        <f t="shared" si="22"/>
        <v>0</v>
      </c>
    </row>
    <row r="99" spans="1:26" s="24" customFormat="1" hidden="1" outlineLevel="1" x14ac:dyDescent="0.3">
      <c r="A99" s="44"/>
      <c r="B99" s="11" t="str">
        <f>CONCATENATE("          ", "5501", " - ", "FREIGHT-IN-NEW TEXT")</f>
        <v xml:space="preserve">          5501 - FREIGHT-IN-NEW TEXT</v>
      </c>
      <c r="C99" s="11"/>
      <c r="D99" s="2">
        <v>0</v>
      </c>
      <c r="E99" s="2"/>
      <c r="F99" s="19">
        <f t="shared" si="15"/>
        <v>0</v>
      </c>
      <c r="G99" s="2"/>
      <c r="H99" s="2">
        <v>4680.5600000000004</v>
      </c>
      <c r="I99" s="2"/>
      <c r="J99" s="19">
        <f t="shared" si="16"/>
        <v>2.9291705354366855E-3</v>
      </c>
      <c r="K99" s="2"/>
      <c r="L99" s="2">
        <f t="shared" si="17"/>
        <v>-4680.5600000000004</v>
      </c>
      <c r="M99" s="2"/>
      <c r="N99" s="19">
        <f t="shared" si="18"/>
        <v>-1</v>
      </c>
      <c r="O99" s="11"/>
      <c r="P99" s="2">
        <v>0</v>
      </c>
      <c r="Q99" s="2"/>
      <c r="R99" s="19">
        <f t="shared" si="19"/>
        <v>0</v>
      </c>
      <c r="S99" s="2"/>
      <c r="T99" s="2">
        <v>5483.28</v>
      </c>
      <c r="U99" s="2"/>
      <c r="V99" s="19">
        <f t="shared" si="20"/>
        <v>3.0035818308211852E-3</v>
      </c>
      <c r="W99" s="2"/>
      <c r="X99" s="2">
        <f t="shared" si="21"/>
        <v>-5483.28</v>
      </c>
      <c r="Y99" s="2"/>
      <c r="Z99" s="19">
        <f t="shared" si="22"/>
        <v>-1</v>
      </c>
    </row>
    <row r="100" spans="1:26" s="24" customFormat="1" hidden="1" outlineLevel="1" x14ac:dyDescent="0.3">
      <c r="A100" s="44"/>
      <c r="B100" s="11" t="str">
        <f>CONCATENATE("          ", "5502", " - ", "FREIGHT-IN-USED TEXT")</f>
        <v xml:space="preserve">          5502 - FREIGHT-IN-USED TEXT</v>
      </c>
      <c r="C100" s="11"/>
      <c r="D100" s="2">
        <v>0</v>
      </c>
      <c r="E100" s="2"/>
      <c r="F100" s="19">
        <f t="shared" si="15"/>
        <v>0</v>
      </c>
      <c r="G100" s="2"/>
      <c r="H100" s="2">
        <v>1186.6600000000001</v>
      </c>
      <c r="I100" s="2"/>
      <c r="J100" s="19">
        <f t="shared" si="16"/>
        <v>7.4263111840918545E-4</v>
      </c>
      <c r="K100" s="2"/>
      <c r="L100" s="2">
        <f t="shared" si="17"/>
        <v>-1186.6600000000001</v>
      </c>
      <c r="M100" s="2"/>
      <c r="N100" s="19">
        <f t="shared" si="18"/>
        <v>-1</v>
      </c>
      <c r="O100" s="11"/>
      <c r="P100" s="2">
        <v>0</v>
      </c>
      <c r="Q100" s="2"/>
      <c r="R100" s="19">
        <f t="shared" si="19"/>
        <v>0</v>
      </c>
      <c r="S100" s="2"/>
      <c r="T100" s="2">
        <v>1234.55</v>
      </c>
      <c r="U100" s="2"/>
      <c r="V100" s="19">
        <f t="shared" si="20"/>
        <v>6.7625070199593934E-4</v>
      </c>
      <c r="W100" s="2"/>
      <c r="X100" s="2">
        <f t="shared" si="21"/>
        <v>-1234.55</v>
      </c>
      <c r="Y100" s="2"/>
      <c r="Z100" s="19">
        <f t="shared" si="22"/>
        <v>-1</v>
      </c>
    </row>
    <row r="101" spans="1:26" s="24" customFormat="1" hidden="1" outlineLevel="1" x14ac:dyDescent="0.3">
      <c r="A101" s="44"/>
      <c r="B101" s="11" t="str">
        <f>CONCATENATE("          ", "5518", " - ", "FREIGHT-IN-STUDY GUIDES")</f>
        <v xml:space="preserve">          5518 - FREIGHT-IN-STUDY GUIDES</v>
      </c>
      <c r="C101" s="11"/>
      <c r="D101" s="2"/>
      <c r="E101" s="2"/>
      <c r="F101" s="19">
        <f t="shared" si="15"/>
        <v>0</v>
      </c>
      <c r="G101" s="2"/>
      <c r="H101" s="2"/>
      <c r="I101" s="2"/>
      <c r="J101" s="19">
        <f t="shared" si="16"/>
        <v>0</v>
      </c>
      <c r="K101" s="2"/>
      <c r="L101" s="2">
        <f t="shared" si="17"/>
        <v>0</v>
      </c>
      <c r="M101" s="2"/>
      <c r="N101" s="19">
        <f t="shared" si="18"/>
        <v>0</v>
      </c>
      <c r="O101" s="11"/>
      <c r="P101" s="2">
        <v>0</v>
      </c>
      <c r="Q101" s="2"/>
      <c r="R101" s="19">
        <f t="shared" si="19"/>
        <v>0</v>
      </c>
      <c r="S101" s="2"/>
      <c r="T101" s="2"/>
      <c r="U101" s="2"/>
      <c r="V101" s="19">
        <f t="shared" si="20"/>
        <v>0</v>
      </c>
      <c r="W101" s="2"/>
      <c r="X101" s="2">
        <f t="shared" si="21"/>
        <v>0</v>
      </c>
      <c r="Y101" s="2"/>
      <c r="Z101" s="19">
        <f t="shared" si="22"/>
        <v>0</v>
      </c>
    </row>
    <row r="102" spans="1:26" s="24" customFormat="1" hidden="1" outlineLevel="1" x14ac:dyDescent="0.3">
      <c r="A102" s="44"/>
      <c r="B102" s="11" t="str">
        <f>CONCATENATE("          ", "5527", " - ", "FREIGHT-IN-SCHOOL SUPPLIES")</f>
        <v xml:space="preserve">          5527 - FREIGHT-IN-SCHOOL SUPPLIES</v>
      </c>
      <c r="C102" s="11"/>
      <c r="D102" s="2">
        <v>0</v>
      </c>
      <c r="E102" s="2"/>
      <c r="F102" s="19">
        <f t="shared" si="15"/>
        <v>0</v>
      </c>
      <c r="G102" s="2"/>
      <c r="H102" s="2"/>
      <c r="I102" s="2"/>
      <c r="J102" s="19">
        <f t="shared" si="16"/>
        <v>0</v>
      </c>
      <c r="K102" s="2"/>
      <c r="L102" s="2">
        <f t="shared" si="17"/>
        <v>0</v>
      </c>
      <c r="M102" s="2"/>
      <c r="N102" s="19">
        <f t="shared" si="18"/>
        <v>0</v>
      </c>
      <c r="O102" s="11"/>
      <c r="P102" s="2">
        <v>0</v>
      </c>
      <c r="Q102" s="2"/>
      <c r="R102" s="19">
        <f t="shared" si="19"/>
        <v>0</v>
      </c>
      <c r="S102" s="2"/>
      <c r="T102" s="2"/>
      <c r="U102" s="2"/>
      <c r="V102" s="19">
        <f t="shared" si="20"/>
        <v>0</v>
      </c>
      <c r="W102" s="2"/>
      <c r="X102" s="2">
        <f t="shared" si="21"/>
        <v>0</v>
      </c>
      <c r="Y102" s="2"/>
      <c r="Z102" s="19">
        <f t="shared" si="22"/>
        <v>0</v>
      </c>
    </row>
    <row r="103" spans="1:26" s="24" customFormat="1" hidden="1" outlineLevel="1" x14ac:dyDescent="0.3">
      <c r="A103" s="44"/>
      <c r="B103" s="11" t="str">
        <f>CONCATENATE("          ", "5528", " - ", "FREIGHT-IN-ART/TECH")</f>
        <v xml:space="preserve">          5528 - FREIGHT-IN-ART/TECH</v>
      </c>
      <c r="C103" s="11"/>
      <c r="D103" s="2">
        <v>0</v>
      </c>
      <c r="E103" s="2"/>
      <c r="F103" s="19">
        <f t="shared" si="15"/>
        <v>0</v>
      </c>
      <c r="G103" s="2"/>
      <c r="H103" s="2"/>
      <c r="I103" s="2"/>
      <c r="J103" s="19">
        <f t="shared" si="16"/>
        <v>0</v>
      </c>
      <c r="K103" s="2"/>
      <c r="L103" s="2">
        <f t="shared" si="17"/>
        <v>0</v>
      </c>
      <c r="M103" s="2"/>
      <c r="N103" s="19">
        <f t="shared" si="18"/>
        <v>0</v>
      </c>
      <c r="O103" s="11"/>
      <c r="P103" s="2">
        <v>0</v>
      </c>
      <c r="Q103" s="2"/>
      <c r="R103" s="19">
        <f t="shared" si="19"/>
        <v>0</v>
      </c>
      <c r="S103" s="2"/>
      <c r="T103" s="2">
        <v>38.049999999999997</v>
      </c>
      <c r="U103" s="2"/>
      <c r="V103" s="19">
        <f t="shared" si="20"/>
        <v>2.0842686979827057E-5</v>
      </c>
      <c r="W103" s="2"/>
      <c r="X103" s="2">
        <f t="shared" si="21"/>
        <v>-38.049999999999997</v>
      </c>
      <c r="Y103" s="2"/>
      <c r="Z103" s="19">
        <f t="shared" si="22"/>
        <v>-1</v>
      </c>
    </row>
    <row r="104" spans="1:26" s="24" customFormat="1" hidden="1" outlineLevel="1" x14ac:dyDescent="0.3">
      <c r="A104" s="44"/>
      <c r="B104" s="11" t="str">
        <f>CONCATENATE("          ", "5540", " - ", "FREIGHT-IN-LOGO CLOTHING")</f>
        <v xml:space="preserve">          5540 - FREIGHT-IN-LOGO CLOTHING</v>
      </c>
      <c r="C104" s="11"/>
      <c r="D104" s="2">
        <v>0</v>
      </c>
      <c r="E104" s="2"/>
      <c r="F104" s="19">
        <f t="shared" si="15"/>
        <v>0</v>
      </c>
      <c r="G104" s="2"/>
      <c r="H104" s="2">
        <v>1021.7</v>
      </c>
      <c r="I104" s="2"/>
      <c r="J104" s="19">
        <f t="shared" si="16"/>
        <v>6.3939646881049734E-4</v>
      </c>
      <c r="K104" s="2"/>
      <c r="L104" s="2">
        <f t="shared" si="17"/>
        <v>-1021.7</v>
      </c>
      <c r="M104" s="2"/>
      <c r="N104" s="19">
        <f t="shared" si="18"/>
        <v>-1</v>
      </c>
      <c r="O104" s="11"/>
      <c r="P104" s="2">
        <v>0</v>
      </c>
      <c r="Q104" s="2"/>
      <c r="R104" s="19">
        <f t="shared" si="19"/>
        <v>0</v>
      </c>
      <c r="S104" s="2"/>
      <c r="T104" s="2">
        <v>1931.53</v>
      </c>
      <c r="U104" s="2"/>
      <c r="V104" s="19">
        <f t="shared" si="20"/>
        <v>1.0580361414492866E-3</v>
      </c>
      <c r="W104" s="2"/>
      <c r="X104" s="2">
        <f t="shared" si="21"/>
        <v>-1931.53</v>
      </c>
      <c r="Y104" s="2"/>
      <c r="Z104" s="19">
        <f t="shared" si="22"/>
        <v>-1</v>
      </c>
    </row>
    <row r="105" spans="1:26" s="24" customFormat="1" hidden="1" outlineLevel="1" x14ac:dyDescent="0.3">
      <c r="A105" s="44"/>
      <c r="B105" s="11" t="str">
        <f>CONCATENATE("          ", "5541", " - ", "FREIGHT-IN-LOGO GIFTS")</f>
        <v xml:space="preserve">          5541 - FREIGHT-IN-LOGO GIFTS</v>
      </c>
      <c r="C105" s="11"/>
      <c r="D105" s="2">
        <v>0</v>
      </c>
      <c r="E105" s="2"/>
      <c r="F105" s="19">
        <f t="shared" si="15"/>
        <v>0</v>
      </c>
      <c r="G105" s="2"/>
      <c r="H105" s="2">
        <v>123.12</v>
      </c>
      <c r="I105" s="2"/>
      <c r="J105" s="19">
        <f t="shared" si="16"/>
        <v>7.7050497445383607E-5</v>
      </c>
      <c r="K105" s="2"/>
      <c r="L105" s="2">
        <f t="shared" si="17"/>
        <v>-123.12</v>
      </c>
      <c r="M105" s="2"/>
      <c r="N105" s="19">
        <f t="shared" si="18"/>
        <v>-1</v>
      </c>
      <c r="O105" s="11"/>
      <c r="P105" s="2">
        <v>0</v>
      </c>
      <c r="Q105" s="2"/>
      <c r="R105" s="19">
        <f t="shared" si="19"/>
        <v>0</v>
      </c>
      <c r="S105" s="2"/>
      <c r="T105" s="2">
        <v>206.7</v>
      </c>
      <c r="U105" s="2"/>
      <c r="V105" s="19">
        <f t="shared" si="20"/>
        <v>1.1322426803496065E-4</v>
      </c>
      <c r="W105" s="2"/>
      <c r="X105" s="2">
        <f t="shared" si="21"/>
        <v>-206.7</v>
      </c>
      <c r="Y105" s="2"/>
      <c r="Z105" s="19">
        <f t="shared" si="22"/>
        <v>-1</v>
      </c>
    </row>
    <row r="106" spans="1:26" s="24" customFormat="1" hidden="1" outlineLevel="1" x14ac:dyDescent="0.3">
      <c r="A106" s="44"/>
      <c r="B106" s="11" t="str">
        <f>CONCATENATE("          ", "5542", " - ", "FREIGHT-IN-EVERYDAY GIFTS")</f>
        <v xml:space="preserve">          5542 - FREIGHT-IN-EVERYDAY GIFTS</v>
      </c>
      <c r="C106" s="11"/>
      <c r="D106" s="2">
        <v>0</v>
      </c>
      <c r="E106" s="2"/>
      <c r="F106" s="19">
        <f t="shared" si="15"/>
        <v>0</v>
      </c>
      <c r="G106" s="2"/>
      <c r="H106" s="2"/>
      <c r="I106" s="2"/>
      <c r="J106" s="19">
        <f t="shared" si="16"/>
        <v>0</v>
      </c>
      <c r="K106" s="2"/>
      <c r="L106" s="2">
        <f t="shared" si="17"/>
        <v>0</v>
      </c>
      <c r="M106" s="2"/>
      <c r="N106" s="19">
        <f t="shared" si="18"/>
        <v>0</v>
      </c>
      <c r="O106" s="11"/>
      <c r="P106" s="2">
        <v>0</v>
      </c>
      <c r="Q106" s="2"/>
      <c r="R106" s="19">
        <f t="shared" si="19"/>
        <v>0</v>
      </c>
      <c r="S106" s="2"/>
      <c r="T106" s="2">
        <v>5.94</v>
      </c>
      <c r="U106" s="2"/>
      <c r="V106" s="19">
        <f t="shared" si="20"/>
        <v>3.2537598071004658E-6</v>
      </c>
      <c r="W106" s="2"/>
      <c r="X106" s="2">
        <f t="shared" si="21"/>
        <v>-5.94</v>
      </c>
      <c r="Y106" s="2"/>
      <c r="Z106" s="19">
        <f t="shared" si="22"/>
        <v>-1</v>
      </c>
    </row>
    <row r="107" spans="1:26" s="24" customFormat="1" hidden="1" outlineLevel="1" x14ac:dyDescent="0.3">
      <c r="A107" s="44"/>
      <c r="B107" s="11" t="str">
        <f>CONCATENATE("          ", "5544", " - ", "FREIGHT-IN-ACCESSORIES")</f>
        <v xml:space="preserve">          5544 - FREIGHT-IN-ACCESSORIES</v>
      </c>
      <c r="C107" s="11"/>
      <c r="D107" s="2">
        <v>0</v>
      </c>
      <c r="E107" s="2"/>
      <c r="F107" s="19">
        <f t="shared" si="15"/>
        <v>0</v>
      </c>
      <c r="G107" s="2"/>
      <c r="H107" s="2"/>
      <c r="I107" s="2"/>
      <c r="J107" s="19">
        <f t="shared" si="16"/>
        <v>0</v>
      </c>
      <c r="K107" s="2"/>
      <c r="L107" s="2">
        <f t="shared" si="17"/>
        <v>0</v>
      </c>
      <c r="M107" s="2"/>
      <c r="N107" s="19">
        <f t="shared" si="18"/>
        <v>0</v>
      </c>
      <c r="O107" s="11"/>
      <c r="P107" s="2">
        <v>0</v>
      </c>
      <c r="Q107" s="2"/>
      <c r="R107" s="19">
        <f t="shared" si="19"/>
        <v>0</v>
      </c>
      <c r="S107" s="2"/>
      <c r="T107" s="2"/>
      <c r="U107" s="2"/>
      <c r="V107" s="19">
        <f t="shared" si="20"/>
        <v>0</v>
      </c>
      <c r="W107" s="2"/>
      <c r="X107" s="2">
        <f t="shared" si="21"/>
        <v>0</v>
      </c>
      <c r="Y107" s="2"/>
      <c r="Z107" s="19">
        <f t="shared" si="22"/>
        <v>0</v>
      </c>
    </row>
    <row r="108" spans="1:26" s="24" customFormat="1" hidden="1" outlineLevel="1" x14ac:dyDescent="0.3">
      <c r="A108" s="44"/>
      <c r="B108" s="11" t="str">
        <f>CONCATENATE("          ", "5545", " - ", "FREIGHT-IN-SPECIAL ORDERS")</f>
        <v xml:space="preserve">          5545 - FREIGHT-IN-SPECIAL ORDERS</v>
      </c>
      <c r="C108" s="11"/>
      <c r="D108" s="2">
        <v>0</v>
      </c>
      <c r="E108" s="2"/>
      <c r="F108" s="19">
        <f t="shared" si="15"/>
        <v>0</v>
      </c>
      <c r="G108" s="2"/>
      <c r="H108" s="2">
        <v>145.6</v>
      </c>
      <c r="I108" s="2"/>
      <c r="J108" s="19">
        <f t="shared" si="16"/>
        <v>9.1118846881480285E-5</v>
      </c>
      <c r="K108" s="2"/>
      <c r="L108" s="2">
        <f t="shared" si="17"/>
        <v>-145.6</v>
      </c>
      <c r="M108" s="2"/>
      <c r="N108" s="19">
        <f t="shared" si="18"/>
        <v>-1</v>
      </c>
      <c r="O108" s="11"/>
      <c r="P108" s="2">
        <v>0</v>
      </c>
      <c r="Q108" s="2"/>
      <c r="R108" s="19">
        <f t="shared" si="19"/>
        <v>0</v>
      </c>
      <c r="S108" s="2"/>
      <c r="T108" s="2">
        <v>446</v>
      </c>
      <c r="U108" s="2"/>
      <c r="V108" s="19">
        <f t="shared" si="20"/>
        <v>2.443058710381831E-4</v>
      </c>
      <c r="W108" s="2"/>
      <c r="X108" s="2">
        <f t="shared" si="21"/>
        <v>-446</v>
      </c>
      <c r="Y108" s="2"/>
      <c r="Z108" s="19">
        <f t="shared" si="22"/>
        <v>-1</v>
      </c>
    </row>
    <row r="109" spans="1:26" s="24" customFormat="1" hidden="1" outlineLevel="1" x14ac:dyDescent="0.3">
      <c r="A109" s="44"/>
      <c r="B109" s="11" t="str">
        <f>CONCATENATE("          ", "5592", " - ", "FREIGHT-IN-GRAD MERCH")</f>
        <v xml:space="preserve">          5592 - FREIGHT-IN-GRAD MERCH</v>
      </c>
      <c r="C109" s="11"/>
      <c r="D109" s="2"/>
      <c r="E109" s="2"/>
      <c r="F109" s="19">
        <f t="shared" si="15"/>
        <v>0</v>
      </c>
      <c r="G109" s="2"/>
      <c r="H109" s="2"/>
      <c r="I109" s="2"/>
      <c r="J109" s="19">
        <f t="shared" si="16"/>
        <v>0</v>
      </c>
      <c r="K109" s="2"/>
      <c r="L109" s="2">
        <f t="shared" si="17"/>
        <v>0</v>
      </c>
      <c r="M109" s="2"/>
      <c r="N109" s="19">
        <f t="shared" si="18"/>
        <v>0</v>
      </c>
      <c r="O109" s="11"/>
      <c r="P109" s="2"/>
      <c r="Q109" s="2"/>
      <c r="R109" s="19">
        <f t="shared" si="19"/>
        <v>0</v>
      </c>
      <c r="S109" s="2"/>
      <c r="T109" s="2">
        <v>0</v>
      </c>
      <c r="U109" s="2"/>
      <c r="V109" s="19">
        <f t="shared" si="20"/>
        <v>0</v>
      </c>
      <c r="W109" s="2"/>
      <c r="X109" s="2">
        <f t="shared" si="21"/>
        <v>0</v>
      </c>
      <c r="Y109" s="2"/>
      <c r="Z109" s="19">
        <f t="shared" si="22"/>
        <v>0</v>
      </c>
    </row>
    <row r="110" spans="1:26" x14ac:dyDescent="0.3">
      <c r="A110" s="9"/>
      <c r="B110" s="10"/>
      <c r="C110" s="10"/>
      <c r="D110" s="3"/>
      <c r="E110" s="3"/>
      <c r="F110" s="6"/>
      <c r="G110" s="3"/>
      <c r="H110" s="3"/>
      <c r="I110" s="3"/>
      <c r="J110" s="6"/>
      <c r="K110" s="3"/>
      <c r="L110" s="3"/>
      <c r="M110" s="3"/>
      <c r="N110" s="6"/>
      <c r="O110" s="10"/>
      <c r="P110" s="3"/>
      <c r="Q110" s="3"/>
      <c r="R110" s="6"/>
      <c r="S110" s="3"/>
      <c r="T110" s="3"/>
      <c r="U110" s="3"/>
      <c r="V110" s="6"/>
      <c r="W110" s="3"/>
      <c r="X110" s="3"/>
      <c r="Y110" s="3"/>
      <c r="Z110" s="6"/>
    </row>
    <row r="111" spans="1:26" s="23" customFormat="1" x14ac:dyDescent="0.3">
      <c r="A111" s="10"/>
      <c r="B111" s="25" t="s">
        <v>107</v>
      </c>
      <c r="C111" s="25"/>
      <c r="D111" s="20">
        <f>D12-D75</f>
        <v>523875.05999999994</v>
      </c>
      <c r="E111" s="13"/>
      <c r="F111" s="22">
        <f>IF(D$12=0,0,D111/D$12)</f>
        <v>0.3447772243814658</v>
      </c>
      <c r="G111" s="13"/>
      <c r="H111" s="20">
        <f>H12-H75</f>
        <v>518532.82000000007</v>
      </c>
      <c r="I111" s="13"/>
      <c r="J111" s="22">
        <f>IF(H$12=0,0,H111/H$12)</f>
        <v>0.32450626805358646</v>
      </c>
      <c r="K111" s="15"/>
      <c r="L111" s="20">
        <f>+D111-H111</f>
        <v>5342.2399999998743</v>
      </c>
      <c r="M111" s="15"/>
      <c r="N111" s="22">
        <f>IF(H111=0,0,L111/H111)</f>
        <v>1.0302607267944724E-2</v>
      </c>
      <c r="O111" s="26"/>
      <c r="P111" s="20">
        <f>P12-P75</f>
        <v>616951.84000000008</v>
      </c>
      <c r="Q111" s="13"/>
      <c r="R111" s="22">
        <f>IF(P$12=0,0,P111/P$12)</f>
        <v>0.35457862050114886</v>
      </c>
      <c r="S111" s="13"/>
      <c r="T111" s="20">
        <f>T12-T75</f>
        <v>605031.67000000016</v>
      </c>
      <c r="U111" s="13"/>
      <c r="V111" s="22">
        <f>IF(T$12=0,0,T111/T$12)</f>
        <v>0.33141880974223453</v>
      </c>
      <c r="W111" s="15"/>
      <c r="X111" s="20">
        <f>+P111-T111</f>
        <v>11920.169999999925</v>
      </c>
      <c r="Y111" s="15"/>
      <c r="Z111" s="22">
        <f>IF(T111=0,0,X111/T111)</f>
        <v>1.9701729002053598E-2</v>
      </c>
    </row>
    <row r="112" spans="1:26" x14ac:dyDescent="0.3">
      <c r="A112" s="9"/>
      <c r="B112" s="10"/>
      <c r="C112" s="9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x14ac:dyDescent="0.3">
      <c r="A113" s="10"/>
      <c r="B113" s="26" t="s">
        <v>294</v>
      </c>
      <c r="C113" s="10"/>
      <c r="D113" s="21">
        <f>SUM(OSRRefD22x_0)</f>
        <v>368043.92000000004</v>
      </c>
      <c r="E113" s="21"/>
      <c r="F113" s="32">
        <f t="shared" ref="F113:F124" si="23">IF(D$12=0,0,D113/D$12)</f>
        <v>0.24222027517033215</v>
      </c>
      <c r="G113" s="21"/>
      <c r="H113" s="21">
        <f>SUM(OSRRefH22x_0)</f>
        <v>253866.55999999997</v>
      </c>
      <c r="I113" s="21"/>
      <c r="J113" s="32">
        <f t="shared" ref="J113:J124" si="24">IF(H$12=0,0,H113/H$12)</f>
        <v>0.15887382011653933</v>
      </c>
      <c r="K113" s="4"/>
      <c r="L113" s="21">
        <f t="shared" ref="L113:L124" si="25">+D113-H113</f>
        <v>114177.36000000007</v>
      </c>
      <c r="M113" s="4"/>
      <c r="N113" s="32">
        <f t="shared" ref="N113:N124" si="26">IF(H113=0,0,L113/H113)</f>
        <v>0.44975344527455718</v>
      </c>
      <c r="O113" s="10"/>
      <c r="P113" s="21">
        <f>SUM(OSRRefP22x_0)</f>
        <v>743404.15000000014</v>
      </c>
      <c r="Q113" s="21"/>
      <c r="R113" s="32">
        <f t="shared" ref="R113:R124" si="27">IF(P$12=0,0,P113/P$12)</f>
        <v>0.42725412405258267</v>
      </c>
      <c r="S113" s="21"/>
      <c r="T113" s="21">
        <f>SUM(OSRRefT22x_0)</f>
        <v>607742.44000000018</v>
      </c>
      <c r="U113" s="21"/>
      <c r="V113" s="32">
        <f t="shared" ref="V113:V124" si="28">IF(T$12=0,0,T113/T$12)</f>
        <v>0.33290369096652644</v>
      </c>
      <c r="W113" s="4"/>
      <c r="X113" s="21">
        <f t="shared" ref="X113:X124" si="29">+P113-T113</f>
        <v>135661.70999999996</v>
      </c>
      <c r="Y113" s="4"/>
      <c r="Z113" s="32">
        <f t="shared" ref="Z113:Z124" si="30">IF(T113=0,0,X113/T113)</f>
        <v>0.22322237360945194</v>
      </c>
    </row>
    <row r="114" spans="1:26" s="28" customFormat="1" outlineLevel="1" collapsed="1" x14ac:dyDescent="0.3">
      <c r="A114" s="29"/>
      <c r="B114" s="14" t="str">
        <f>CONCATENATE("     ","*Benefits                                         ")</f>
        <v xml:space="preserve">     *Benefits                                         </v>
      </c>
      <c r="C114" s="14"/>
      <c r="D114" s="1">
        <f>SUM(OSRRefD22_0x_0)</f>
        <v>52380.290000000008</v>
      </c>
      <c r="E114" s="1"/>
      <c r="F114" s="5">
        <f t="shared" si="23"/>
        <v>3.4472973381279602E-2</v>
      </c>
      <c r="G114" s="1"/>
      <c r="H114" s="1">
        <f>SUM(OSRRefH22_0x_0)</f>
        <v>51389.340000000004</v>
      </c>
      <c r="I114" s="1"/>
      <c r="J114" s="5">
        <f t="shared" si="24"/>
        <v>3.2160284359892377E-2</v>
      </c>
      <c r="K114" s="1"/>
      <c r="L114" s="1">
        <f t="shared" si="25"/>
        <v>990.95000000000437</v>
      </c>
      <c r="M114" s="1"/>
      <c r="N114" s="5">
        <f t="shared" si="26"/>
        <v>1.928318207628283E-2</v>
      </c>
      <c r="O114" s="14"/>
      <c r="P114" s="1">
        <f>SUM(OSRRefP22_0x_0)</f>
        <v>99806.65</v>
      </c>
      <c r="Q114" s="1"/>
      <c r="R114" s="5">
        <f t="shared" si="27"/>
        <v>5.7361534530541283E-2</v>
      </c>
      <c r="S114" s="1"/>
      <c r="T114" s="1">
        <f>SUM(OSRRefT22_0x_0)</f>
        <v>101051.01</v>
      </c>
      <c r="U114" s="1"/>
      <c r="V114" s="5">
        <f t="shared" si="28"/>
        <v>5.5352813940220069E-2</v>
      </c>
      <c r="W114" s="1"/>
      <c r="X114" s="1">
        <f t="shared" si="29"/>
        <v>-1244.3600000000006</v>
      </c>
      <c r="Y114" s="1"/>
      <c r="Z114" s="5">
        <f t="shared" si="30"/>
        <v>-1.2314176770722041E-2</v>
      </c>
    </row>
    <row r="115" spans="1:26" s="24" customFormat="1" hidden="1" outlineLevel="2" x14ac:dyDescent="0.3">
      <c r="A115" s="27"/>
      <c r="B115" s="11" t="str">
        <f>CONCATENATE("          ", "6111", " - ", "F.I.C.A.")</f>
        <v xml:space="preserve">          6111 - F.I.C.A.</v>
      </c>
      <c r="C115" s="11"/>
      <c r="D115" s="7">
        <v>12488.15</v>
      </c>
      <c r="E115" s="2"/>
      <c r="F115" s="8">
        <f t="shared" si="23"/>
        <v>8.2188102152818687E-3</v>
      </c>
      <c r="G115" s="2"/>
      <c r="H115" s="7">
        <v>11412.37</v>
      </c>
      <c r="I115" s="2"/>
      <c r="J115" s="8">
        <f t="shared" si="24"/>
        <v>7.1420466661043904E-3</v>
      </c>
      <c r="K115" s="2"/>
      <c r="L115" s="7">
        <f t="shared" si="25"/>
        <v>1075.7799999999988</v>
      </c>
      <c r="M115" s="2"/>
      <c r="N115" s="8">
        <f t="shared" si="26"/>
        <v>9.4264381543886042E-2</v>
      </c>
      <c r="O115" s="11"/>
      <c r="P115" s="7">
        <v>22116.16</v>
      </c>
      <c r="Q115" s="2"/>
      <c r="R115" s="8">
        <f t="shared" si="27"/>
        <v>1.2710744980649846E-2</v>
      </c>
      <c r="S115" s="2"/>
      <c r="T115" s="7">
        <v>19840.490000000002</v>
      </c>
      <c r="U115" s="2"/>
      <c r="V115" s="8">
        <f t="shared" si="28"/>
        <v>1.086804527191561E-2</v>
      </c>
      <c r="W115" s="2"/>
      <c r="X115" s="7">
        <f t="shared" si="29"/>
        <v>2275.6699999999983</v>
      </c>
      <c r="Y115" s="2"/>
      <c r="Z115" s="8">
        <f t="shared" si="30"/>
        <v>0.11469827610104377</v>
      </c>
    </row>
    <row r="116" spans="1:26" s="24" customFormat="1" hidden="1" outlineLevel="2" x14ac:dyDescent="0.3">
      <c r="A116" s="27"/>
      <c r="B116" s="11" t="str">
        <f>CONCATENATE("          ", "6112", " - ", "COMPENSATION INSURANCE")</f>
        <v xml:space="preserve">          6112 - COMPENSATION INSURANCE</v>
      </c>
      <c r="C116" s="11"/>
      <c r="D116" s="7">
        <v>2572.08</v>
      </c>
      <c r="E116" s="2"/>
      <c r="F116" s="8">
        <f t="shared" si="23"/>
        <v>1.6927597265024995E-3</v>
      </c>
      <c r="G116" s="2"/>
      <c r="H116" s="7">
        <v>2528.56</v>
      </c>
      <c r="I116" s="2"/>
      <c r="J116" s="8">
        <f t="shared" si="24"/>
        <v>1.5824139524082128E-3</v>
      </c>
      <c r="K116" s="2"/>
      <c r="L116" s="7">
        <f t="shared" si="25"/>
        <v>43.519999999999982</v>
      </c>
      <c r="M116" s="2"/>
      <c r="N116" s="8">
        <f t="shared" si="26"/>
        <v>1.721137722656373E-2</v>
      </c>
      <c r="O116" s="11"/>
      <c r="P116" s="7">
        <v>4545.49</v>
      </c>
      <c r="Q116" s="2"/>
      <c r="R116" s="8">
        <f t="shared" si="27"/>
        <v>2.6124139182432241E-3</v>
      </c>
      <c r="S116" s="2"/>
      <c r="T116" s="7">
        <v>4477.37</v>
      </c>
      <c r="U116" s="2"/>
      <c r="V116" s="8">
        <f t="shared" si="28"/>
        <v>2.4525734928480493E-3</v>
      </c>
      <c r="W116" s="2"/>
      <c r="X116" s="7">
        <f t="shared" si="29"/>
        <v>68.119999999999891</v>
      </c>
      <c r="Y116" s="2"/>
      <c r="Z116" s="8">
        <f t="shared" si="30"/>
        <v>1.5214288745401853E-2</v>
      </c>
    </row>
    <row r="117" spans="1:26" s="24" customFormat="1" hidden="1" outlineLevel="2" x14ac:dyDescent="0.3">
      <c r="A117" s="27"/>
      <c r="B117" s="11" t="str">
        <f>CONCATENATE("          ", "6113", " - ", "GROUP INSURANCE")</f>
        <v xml:space="preserve">          6113 - GROUP INSURANCE</v>
      </c>
      <c r="C117" s="11"/>
      <c r="D117" s="7">
        <v>17896.5</v>
      </c>
      <c r="E117" s="2"/>
      <c r="F117" s="8">
        <f t="shared" si="23"/>
        <v>1.1778200695682866E-2</v>
      </c>
      <c r="G117" s="2"/>
      <c r="H117" s="7">
        <v>18240.330000000002</v>
      </c>
      <c r="I117" s="2"/>
      <c r="J117" s="8">
        <f t="shared" si="24"/>
        <v>1.14150950297917E-2</v>
      </c>
      <c r="K117" s="2"/>
      <c r="L117" s="7">
        <f t="shared" si="25"/>
        <v>-343.83000000000175</v>
      </c>
      <c r="M117" s="2"/>
      <c r="N117" s="8">
        <f t="shared" si="26"/>
        <v>-1.8849987911403014E-2</v>
      </c>
      <c r="O117" s="11"/>
      <c r="P117" s="7">
        <v>35793</v>
      </c>
      <c r="Q117" s="2"/>
      <c r="R117" s="8">
        <f t="shared" si="27"/>
        <v>2.0571188447379651E-2</v>
      </c>
      <c r="S117" s="2"/>
      <c r="T117" s="7">
        <v>36329.58</v>
      </c>
      <c r="U117" s="2"/>
      <c r="V117" s="8">
        <f t="shared" si="28"/>
        <v>1.990029077657255E-2</v>
      </c>
      <c r="W117" s="2"/>
      <c r="X117" s="7">
        <f t="shared" si="29"/>
        <v>-536.58000000000175</v>
      </c>
      <c r="Y117" s="2"/>
      <c r="Z117" s="8">
        <f t="shared" si="30"/>
        <v>-1.4769782639931475E-2</v>
      </c>
    </row>
    <row r="118" spans="1:26" s="24" customFormat="1" hidden="1" outlineLevel="2" x14ac:dyDescent="0.3">
      <c r="A118" s="27"/>
      <c r="B118" s="11" t="str">
        <f>CONCATENATE("          ", "6114", " - ", "STATE UNEMPLOYMENT INSURANCE")</f>
        <v xml:space="preserve">          6114 - STATE UNEMPLOYMENT INSURANCE</v>
      </c>
      <c r="C118" s="11"/>
      <c r="D118" s="7">
        <v>466.29</v>
      </c>
      <c r="E118" s="2"/>
      <c r="F118" s="8">
        <f t="shared" si="23"/>
        <v>3.068788423652649E-4</v>
      </c>
      <c r="G118" s="2"/>
      <c r="H118" s="7">
        <v>396.16</v>
      </c>
      <c r="I118" s="2"/>
      <c r="J118" s="8">
        <f t="shared" si="24"/>
        <v>2.4792336799840133E-4</v>
      </c>
      <c r="K118" s="2"/>
      <c r="L118" s="7">
        <f t="shared" si="25"/>
        <v>70.13</v>
      </c>
      <c r="M118" s="2"/>
      <c r="N118" s="8">
        <f t="shared" si="26"/>
        <v>0.17702443457189013</v>
      </c>
      <c r="O118" s="11"/>
      <c r="P118" s="7">
        <v>823.82</v>
      </c>
      <c r="Q118" s="2"/>
      <c r="R118" s="8">
        <f t="shared" si="27"/>
        <v>4.7347125043221597E-4</v>
      </c>
      <c r="S118" s="2"/>
      <c r="T118" s="7">
        <v>695.11</v>
      </c>
      <c r="U118" s="2"/>
      <c r="V118" s="8">
        <f t="shared" si="28"/>
        <v>3.8076110766222302E-4</v>
      </c>
      <c r="W118" s="2"/>
      <c r="X118" s="7">
        <f t="shared" si="29"/>
        <v>128.71000000000004</v>
      </c>
      <c r="Y118" s="2"/>
      <c r="Z118" s="8">
        <f t="shared" si="30"/>
        <v>0.18516493792349417</v>
      </c>
    </row>
    <row r="119" spans="1:26" s="24" customFormat="1" hidden="1" outlineLevel="2" x14ac:dyDescent="0.3">
      <c r="A119" s="27"/>
      <c r="B119" s="11" t="str">
        <f>CONCATENATE("          ", "6115", " - ", "P.E.R.S.")</f>
        <v xml:space="preserve">          6115 - P.E.R.S.</v>
      </c>
      <c r="C119" s="11"/>
      <c r="D119" s="7">
        <v>6296.23</v>
      </c>
      <c r="E119" s="2"/>
      <c r="F119" s="8">
        <f t="shared" si="23"/>
        <v>4.1437298112021528E-3</v>
      </c>
      <c r="G119" s="2"/>
      <c r="H119" s="7">
        <v>7091.2</v>
      </c>
      <c r="I119" s="2"/>
      <c r="J119" s="8">
        <f t="shared" si="24"/>
        <v>4.4377882349309963E-3</v>
      </c>
      <c r="K119" s="2"/>
      <c r="L119" s="7">
        <f t="shared" si="25"/>
        <v>-794.97000000000025</v>
      </c>
      <c r="M119" s="2"/>
      <c r="N119" s="8">
        <f t="shared" si="26"/>
        <v>-0.11210655460288813</v>
      </c>
      <c r="O119" s="11"/>
      <c r="P119" s="7">
        <v>12592.46</v>
      </c>
      <c r="Q119" s="2"/>
      <c r="R119" s="8">
        <f t="shared" si="27"/>
        <v>7.2372214588352565E-3</v>
      </c>
      <c r="S119" s="2"/>
      <c r="T119" s="7">
        <v>17112.02</v>
      </c>
      <c r="U119" s="2"/>
      <c r="V119" s="8">
        <f t="shared" si="28"/>
        <v>9.3734685007237899E-3</v>
      </c>
      <c r="W119" s="2"/>
      <c r="X119" s="7">
        <f t="shared" si="29"/>
        <v>-4519.5600000000013</v>
      </c>
      <c r="Y119" s="2"/>
      <c r="Z119" s="8">
        <f t="shared" si="30"/>
        <v>-0.26411610084607201</v>
      </c>
    </row>
    <row r="120" spans="1:26" s="24" customFormat="1" hidden="1" outlineLevel="2" x14ac:dyDescent="0.3">
      <c r="A120" s="27"/>
      <c r="B120" s="11" t="str">
        <f>CONCATENATE("          ", "6116", " - ", "EDUCATIONAL BENEFITS")</f>
        <v xml:space="preserve">          6116 - EDUCATIONAL BENEFITS</v>
      </c>
      <c r="C120" s="11"/>
      <c r="D120" s="7"/>
      <c r="E120" s="2"/>
      <c r="F120" s="8">
        <f t="shared" si="23"/>
        <v>0</v>
      </c>
      <c r="G120" s="2"/>
      <c r="H120" s="7"/>
      <c r="I120" s="2"/>
      <c r="J120" s="8">
        <f t="shared" si="24"/>
        <v>0</v>
      </c>
      <c r="K120" s="2"/>
      <c r="L120" s="7">
        <f t="shared" si="25"/>
        <v>0</v>
      </c>
      <c r="M120" s="2"/>
      <c r="N120" s="8">
        <f t="shared" si="26"/>
        <v>0</v>
      </c>
      <c r="O120" s="11"/>
      <c r="P120" s="7"/>
      <c r="Q120" s="2"/>
      <c r="R120" s="8">
        <f t="shared" si="27"/>
        <v>0</v>
      </c>
      <c r="S120" s="2"/>
      <c r="T120" s="7">
        <v>0</v>
      </c>
      <c r="U120" s="2"/>
      <c r="V120" s="8">
        <f t="shared" si="28"/>
        <v>0</v>
      </c>
      <c r="W120" s="2"/>
      <c r="X120" s="7">
        <f t="shared" si="29"/>
        <v>0</v>
      </c>
      <c r="Y120" s="2"/>
      <c r="Z120" s="8">
        <f t="shared" si="30"/>
        <v>0</v>
      </c>
    </row>
    <row r="121" spans="1:26" s="24" customFormat="1" hidden="1" outlineLevel="2" x14ac:dyDescent="0.3">
      <c r="A121" s="27"/>
      <c r="B121" s="11" t="str">
        <f>CONCATENATE("          ", "6117", " - ", "RETIREMENT STAFF HOURLY")</f>
        <v xml:space="preserve">          6117 - RETIREMENT STAFF HOURLY</v>
      </c>
      <c r="C121" s="11"/>
      <c r="D121" s="7">
        <v>962.68</v>
      </c>
      <c r="E121" s="2"/>
      <c r="F121" s="8">
        <f t="shared" si="23"/>
        <v>6.3356735930042082E-4</v>
      </c>
      <c r="G121" s="2"/>
      <c r="H121" s="7">
        <v>255.65</v>
      </c>
      <c r="I121" s="2"/>
      <c r="J121" s="8">
        <f t="shared" si="24"/>
        <v>1.5998992586023652E-4</v>
      </c>
      <c r="K121" s="2"/>
      <c r="L121" s="7">
        <f t="shared" si="25"/>
        <v>707.03</v>
      </c>
      <c r="M121" s="2"/>
      <c r="N121" s="8">
        <f t="shared" si="26"/>
        <v>2.7656170545667904</v>
      </c>
      <c r="O121" s="11"/>
      <c r="P121" s="7">
        <v>1515.53</v>
      </c>
      <c r="Q121" s="2"/>
      <c r="R121" s="8">
        <f t="shared" si="27"/>
        <v>8.710153724934284E-4</v>
      </c>
      <c r="S121" s="2"/>
      <c r="T121" s="7">
        <v>588.79</v>
      </c>
      <c r="U121" s="2"/>
      <c r="V121" s="8">
        <f t="shared" si="28"/>
        <v>3.2252209374119243E-4</v>
      </c>
      <c r="W121" s="2"/>
      <c r="X121" s="7">
        <f t="shared" si="29"/>
        <v>926.74</v>
      </c>
      <c r="Y121" s="2"/>
      <c r="Z121" s="8">
        <f t="shared" si="30"/>
        <v>1.5739737427605769</v>
      </c>
    </row>
    <row r="122" spans="1:26" s="24" customFormat="1" hidden="1" outlineLevel="2" x14ac:dyDescent="0.3">
      <c r="A122" s="27"/>
      <c r="B122" s="11" t="str">
        <f>CONCATENATE("          ", "6118", " - ", "VACATION")</f>
        <v xml:space="preserve">          6118 - VACATION</v>
      </c>
      <c r="C122" s="11"/>
      <c r="D122" s="7">
        <v>5549.94</v>
      </c>
      <c r="E122" s="2"/>
      <c r="F122" s="8">
        <f t="shared" si="23"/>
        <v>3.6525749263262739E-3</v>
      </c>
      <c r="G122" s="2"/>
      <c r="H122" s="7">
        <v>5637.74</v>
      </c>
      <c r="I122" s="2"/>
      <c r="J122" s="8">
        <f t="shared" si="24"/>
        <v>3.5281893394065703E-3</v>
      </c>
      <c r="K122" s="2"/>
      <c r="L122" s="7">
        <f t="shared" si="25"/>
        <v>-87.800000000000182</v>
      </c>
      <c r="M122" s="2"/>
      <c r="N122" s="8">
        <f t="shared" si="26"/>
        <v>-1.5573616378194132E-2</v>
      </c>
      <c r="O122" s="11"/>
      <c r="P122" s="7">
        <v>10950.73</v>
      </c>
      <c r="Q122" s="2"/>
      <c r="R122" s="8">
        <f t="shared" si="27"/>
        <v>6.2936755920535792E-3</v>
      </c>
      <c r="S122" s="2"/>
      <c r="T122" s="7">
        <v>11170.32</v>
      </c>
      <c r="U122" s="2"/>
      <c r="V122" s="8">
        <f t="shared" si="28"/>
        <v>6.1187774829041201E-3</v>
      </c>
      <c r="W122" s="2"/>
      <c r="X122" s="7">
        <f t="shared" si="29"/>
        <v>-219.59000000000015</v>
      </c>
      <c r="Y122" s="2"/>
      <c r="Z122" s="8">
        <f t="shared" si="30"/>
        <v>-1.9658344613225059E-2</v>
      </c>
    </row>
    <row r="123" spans="1:26" s="24" customFormat="1" hidden="1" outlineLevel="2" x14ac:dyDescent="0.3">
      <c r="A123" s="27"/>
      <c r="B123" s="11" t="str">
        <f>CONCATENATE("          ", "6119", " - ", "SICK LEAVE")</f>
        <v xml:space="preserve">          6119 - SICK LEAVE</v>
      </c>
      <c r="C123" s="11"/>
      <c r="D123" s="7">
        <v>3886.05</v>
      </c>
      <c r="E123" s="2"/>
      <c r="F123" s="8">
        <f t="shared" si="23"/>
        <v>2.5575211249941835E-3</v>
      </c>
      <c r="G123" s="2"/>
      <c r="H123" s="7">
        <v>4067.85</v>
      </c>
      <c r="I123" s="2"/>
      <c r="J123" s="8">
        <f t="shared" si="24"/>
        <v>2.5457266571897634E-3</v>
      </c>
      <c r="K123" s="2"/>
      <c r="L123" s="7">
        <f t="shared" si="25"/>
        <v>-181.79999999999973</v>
      </c>
      <c r="M123" s="2"/>
      <c r="N123" s="8">
        <f t="shared" si="26"/>
        <v>-4.4691913418636313E-2</v>
      </c>
      <c r="O123" s="11"/>
      <c r="P123" s="7">
        <v>7772.1</v>
      </c>
      <c r="Q123" s="2"/>
      <c r="R123" s="8">
        <f t="shared" si="27"/>
        <v>4.4668324457821191E-3</v>
      </c>
      <c r="S123" s="2"/>
      <c r="T123" s="7">
        <v>8056.45</v>
      </c>
      <c r="U123" s="2"/>
      <c r="V123" s="8">
        <f t="shared" si="28"/>
        <v>4.4130897639586778E-3</v>
      </c>
      <c r="W123" s="2"/>
      <c r="X123" s="7">
        <f t="shared" si="29"/>
        <v>-284.34999999999945</v>
      </c>
      <c r="Y123" s="2"/>
      <c r="Z123" s="8">
        <f t="shared" si="30"/>
        <v>-3.5294701760700986E-2</v>
      </c>
    </row>
    <row r="124" spans="1:26" s="24" customFormat="1" hidden="1" outlineLevel="2" x14ac:dyDescent="0.3">
      <c r="A124" s="27"/>
      <c r="B124" s="11" t="str">
        <f>CONCATENATE("          ", "6156", " - ", "EMPLOYEE MEALS")</f>
        <v xml:space="preserve">          6156 - EMPLOYEE MEALS</v>
      </c>
      <c r="C124" s="11"/>
      <c r="D124" s="7">
        <v>2262.37</v>
      </c>
      <c r="E124" s="2"/>
      <c r="F124" s="8">
        <f t="shared" si="23"/>
        <v>1.488930679624063E-3</v>
      </c>
      <c r="G124" s="2"/>
      <c r="H124" s="7">
        <v>1759.48</v>
      </c>
      <c r="I124" s="2"/>
      <c r="J124" s="8">
        <f t="shared" si="24"/>
        <v>1.1011111862021081E-3</v>
      </c>
      <c r="K124" s="2"/>
      <c r="L124" s="7">
        <f t="shared" si="25"/>
        <v>502.88999999999987</v>
      </c>
      <c r="M124" s="2"/>
      <c r="N124" s="8">
        <f t="shared" si="26"/>
        <v>0.28581740059563043</v>
      </c>
      <c r="O124" s="11"/>
      <c r="P124" s="7">
        <v>3697.36</v>
      </c>
      <c r="Q124" s="2"/>
      <c r="R124" s="8">
        <f t="shared" si="27"/>
        <v>2.1249710646719646E-3</v>
      </c>
      <c r="S124" s="2"/>
      <c r="T124" s="7">
        <v>2780.88</v>
      </c>
      <c r="U124" s="2"/>
      <c r="V124" s="8">
        <f t="shared" si="28"/>
        <v>1.5232854498938625E-3</v>
      </c>
      <c r="W124" s="2"/>
      <c r="X124" s="7">
        <f t="shared" si="29"/>
        <v>916.48</v>
      </c>
      <c r="Y124" s="2"/>
      <c r="Z124" s="8">
        <f t="shared" si="30"/>
        <v>0.32956474209602715</v>
      </c>
    </row>
    <row r="125" spans="1:26" s="28" customFormat="1" outlineLevel="1" collapsed="1" x14ac:dyDescent="0.3">
      <c r="A125" s="29"/>
      <c r="B125" s="14" t="str">
        <f>CONCATENATE("     ","*Payroll                                          ")</f>
        <v xml:space="preserve">     *Payroll                                          </v>
      </c>
      <c r="C125" s="14"/>
      <c r="D125" s="1">
        <f>SUM(OSRRefD22_1x_0)</f>
        <v>190219.97999999998</v>
      </c>
      <c r="E125" s="1"/>
      <c r="F125" s="5">
        <f t="shared" ref="F125:F132" si="31">IF(D$12=0,0,D125/D$12)</f>
        <v>0.1251892325744576</v>
      </c>
      <c r="G125" s="1"/>
      <c r="H125" s="1">
        <f>SUM(OSRRefH22_1x_0)</f>
        <v>170009.67</v>
      </c>
      <c r="I125" s="1"/>
      <c r="J125" s="5">
        <f t="shared" ref="J125:J132" si="32">IF(H$12=0,0,H125/H$12)</f>
        <v>0.10639481517239693</v>
      </c>
      <c r="K125" s="1"/>
      <c r="L125" s="1">
        <f t="shared" ref="L125:L132" si="33">+D125-H125</f>
        <v>20210.309999999969</v>
      </c>
      <c r="M125" s="1"/>
      <c r="N125" s="5">
        <f t="shared" ref="N125:N132" si="34">IF(H125=0,0,L125/H125)</f>
        <v>0.11887741444354293</v>
      </c>
      <c r="O125" s="14"/>
      <c r="P125" s="1">
        <f>SUM(OSRRefP22_1x_0)</f>
        <v>356492.57000000007</v>
      </c>
      <c r="Q125" s="1"/>
      <c r="R125" s="5">
        <f t="shared" ref="R125:R132" si="35">IF(P$12=0,0,P125/P$12)</f>
        <v>0.20488575524713445</v>
      </c>
      <c r="S125" s="1"/>
      <c r="T125" s="1">
        <f>SUM(OSRRefT22_1x_0)</f>
        <v>301964.26</v>
      </c>
      <c r="U125" s="1"/>
      <c r="V125" s="5">
        <f t="shared" ref="V125:V132" si="36">IF(T$12=0,0,T125/T$12)</f>
        <v>0.16540726807556144</v>
      </c>
      <c r="W125" s="1"/>
      <c r="X125" s="1">
        <f t="shared" ref="X125:X132" si="37">+P125-T125</f>
        <v>54528.310000000056</v>
      </c>
      <c r="Y125" s="1"/>
      <c r="Z125" s="5">
        <f t="shared" ref="Z125:Z132" si="38">IF(T125=0,0,X125/T125)</f>
        <v>0.18057868835205879</v>
      </c>
    </row>
    <row r="126" spans="1:26" s="24" customFormat="1" hidden="1" outlineLevel="2" x14ac:dyDescent="0.3">
      <c r="A126" s="27"/>
      <c r="B126" s="11" t="str">
        <f>CONCATENATE("          ", "6001", " - ", "ADMINISTRATIVE SALARIES")</f>
        <v xml:space="preserve">          6001 - ADMINISTRATIVE SALARIES</v>
      </c>
      <c r="C126" s="11"/>
      <c r="D126" s="7">
        <v>4479.1000000000004</v>
      </c>
      <c r="E126" s="2"/>
      <c r="F126" s="8">
        <f t="shared" si="31"/>
        <v>2.9478243643188962E-3</v>
      </c>
      <c r="G126" s="2"/>
      <c r="H126" s="7">
        <v>4205.74</v>
      </c>
      <c r="I126" s="2"/>
      <c r="J126" s="8">
        <f t="shared" si="32"/>
        <v>2.6320204607370667E-3</v>
      </c>
      <c r="K126" s="2"/>
      <c r="L126" s="7">
        <f t="shared" si="33"/>
        <v>273.36000000000058</v>
      </c>
      <c r="M126" s="2"/>
      <c r="N126" s="8">
        <f t="shared" si="34"/>
        <v>6.4996885209261765E-2</v>
      </c>
      <c r="O126" s="11"/>
      <c r="P126" s="7">
        <v>10078.200000000001</v>
      </c>
      <c r="Q126" s="2"/>
      <c r="R126" s="8">
        <f t="shared" si="35"/>
        <v>5.7922094099511533E-3</v>
      </c>
      <c r="S126" s="2"/>
      <c r="T126" s="7">
        <v>8731.59</v>
      </c>
      <c r="U126" s="2"/>
      <c r="V126" s="8">
        <f t="shared" si="36"/>
        <v>4.7829118845253123E-3</v>
      </c>
      <c r="W126" s="2"/>
      <c r="X126" s="7">
        <f t="shared" si="37"/>
        <v>1346.6100000000006</v>
      </c>
      <c r="Y126" s="2"/>
      <c r="Z126" s="8">
        <f t="shared" si="38"/>
        <v>0.1542227704232563</v>
      </c>
    </row>
    <row r="127" spans="1:26" s="24" customFormat="1" hidden="1" outlineLevel="2" x14ac:dyDescent="0.3">
      <c r="A127" s="27"/>
      <c r="B127" s="11" t="str">
        <f>CONCATENATE("          ", "6002", " - ", "STAFF SALARIES")</f>
        <v xml:space="preserve">          6002 - STAFF SALARIES</v>
      </c>
      <c r="C127" s="11"/>
      <c r="D127" s="7">
        <v>58749.01</v>
      </c>
      <c r="E127" s="2"/>
      <c r="F127" s="8">
        <f t="shared" si="31"/>
        <v>3.8664410943630302E-2</v>
      </c>
      <c r="G127" s="2"/>
      <c r="H127" s="7">
        <v>63577.42</v>
      </c>
      <c r="I127" s="2"/>
      <c r="J127" s="8">
        <f t="shared" si="32"/>
        <v>3.9787782953980513E-2</v>
      </c>
      <c r="K127" s="2"/>
      <c r="L127" s="7">
        <f t="shared" si="33"/>
        <v>-4828.4099999999962</v>
      </c>
      <c r="M127" s="2"/>
      <c r="N127" s="8">
        <f t="shared" si="34"/>
        <v>-7.5945359217155964E-2</v>
      </c>
      <c r="O127" s="11"/>
      <c r="P127" s="7">
        <v>127285.75</v>
      </c>
      <c r="Q127" s="2"/>
      <c r="R127" s="8">
        <f t="shared" si="35"/>
        <v>7.3154503671557417E-2</v>
      </c>
      <c r="S127" s="2"/>
      <c r="T127" s="7">
        <v>139490.85</v>
      </c>
      <c r="U127" s="2"/>
      <c r="V127" s="8">
        <f t="shared" si="36"/>
        <v>7.6409043971090912E-2</v>
      </c>
      <c r="W127" s="2"/>
      <c r="X127" s="7">
        <f t="shared" si="37"/>
        <v>-12205.100000000006</v>
      </c>
      <c r="Y127" s="2"/>
      <c r="Z127" s="8">
        <f t="shared" si="38"/>
        <v>-8.7497495355430166E-2</v>
      </c>
    </row>
    <row r="128" spans="1:26" s="24" customFormat="1" hidden="1" outlineLevel="2" x14ac:dyDescent="0.3">
      <c r="A128" s="27"/>
      <c r="B128" s="11" t="str">
        <f>CONCATENATE("          ", "6004", " - ", "STAFF HOURLY")</f>
        <v xml:space="preserve">          6004 - STAFF HOURLY</v>
      </c>
      <c r="C128" s="11"/>
      <c r="D128" s="7">
        <v>19678.82</v>
      </c>
      <c r="E128" s="2"/>
      <c r="F128" s="8">
        <f t="shared" si="31"/>
        <v>1.2951196681709713E-2</v>
      </c>
      <c r="G128" s="2"/>
      <c r="H128" s="7">
        <v>13876.36</v>
      </c>
      <c r="I128" s="2"/>
      <c r="J128" s="8">
        <f t="shared" si="32"/>
        <v>8.6840516628591893E-3</v>
      </c>
      <c r="K128" s="2"/>
      <c r="L128" s="7">
        <f t="shared" si="33"/>
        <v>5802.4599999999991</v>
      </c>
      <c r="M128" s="2"/>
      <c r="N128" s="8">
        <f t="shared" si="34"/>
        <v>0.41815432865679464</v>
      </c>
      <c r="O128" s="11"/>
      <c r="P128" s="7">
        <v>37763.199999999997</v>
      </c>
      <c r="Q128" s="2"/>
      <c r="R128" s="8">
        <f t="shared" si="35"/>
        <v>2.1703514753613477E-2</v>
      </c>
      <c r="S128" s="2"/>
      <c r="T128" s="7">
        <v>29589.88</v>
      </c>
      <c r="U128" s="2"/>
      <c r="V128" s="8">
        <f t="shared" si="36"/>
        <v>1.6208478491738374E-2</v>
      </c>
      <c r="W128" s="2"/>
      <c r="X128" s="7">
        <f t="shared" si="37"/>
        <v>8173.3199999999961</v>
      </c>
      <c r="Y128" s="2"/>
      <c r="Z128" s="8">
        <f t="shared" si="38"/>
        <v>0.27622011309271938</v>
      </c>
    </row>
    <row r="129" spans="1:26" s="24" customFormat="1" hidden="1" outlineLevel="2" x14ac:dyDescent="0.3">
      <c r="A129" s="27"/>
      <c r="B129" s="11" t="str">
        <f>CONCATENATE("          ", "6005", " - ", "TEMPORARY WAGES-HOURLY")</f>
        <v xml:space="preserve">          6005 - TEMPORARY WAGES-HOURLY</v>
      </c>
      <c r="C129" s="11"/>
      <c r="D129" s="7">
        <v>10971.89</v>
      </c>
      <c r="E129" s="2"/>
      <c r="F129" s="8">
        <f t="shared" si="31"/>
        <v>7.2209159573634997E-3</v>
      </c>
      <c r="G129" s="2"/>
      <c r="H129" s="7">
        <v>22505.49</v>
      </c>
      <c r="I129" s="2"/>
      <c r="J129" s="8">
        <f t="shared" si="32"/>
        <v>1.4084301492463503E-2</v>
      </c>
      <c r="K129" s="2"/>
      <c r="L129" s="7">
        <f t="shared" si="33"/>
        <v>-11533.600000000002</v>
      </c>
      <c r="M129" s="2"/>
      <c r="N129" s="8">
        <f t="shared" si="34"/>
        <v>-0.51247939947097354</v>
      </c>
      <c r="O129" s="11"/>
      <c r="P129" s="7">
        <v>20419.689999999999</v>
      </c>
      <c r="Q129" s="2"/>
      <c r="R129" s="8">
        <f t="shared" si="35"/>
        <v>1.1735738580925706E-2</v>
      </c>
      <c r="S129" s="2"/>
      <c r="T129" s="7">
        <v>34891.040000000001</v>
      </c>
      <c r="U129" s="2"/>
      <c r="V129" s="8">
        <f t="shared" si="36"/>
        <v>1.9112300265982263E-2</v>
      </c>
      <c r="W129" s="2"/>
      <c r="X129" s="7">
        <f t="shared" si="37"/>
        <v>-14471.350000000002</v>
      </c>
      <c r="Y129" s="2"/>
      <c r="Z129" s="8">
        <f t="shared" si="38"/>
        <v>-0.41475834483580892</v>
      </c>
    </row>
    <row r="130" spans="1:26" s="24" customFormat="1" hidden="1" outlineLevel="2" x14ac:dyDescent="0.3">
      <c r="A130" s="27"/>
      <c r="B130" s="11" t="str">
        <f>CONCATENATE("          ", "6006", " - ", "TEMPORARY PART TIME")</f>
        <v xml:space="preserve">          6006 - TEMPORARY PART TIME</v>
      </c>
      <c r="C130" s="11"/>
      <c r="D130" s="7">
        <v>3273.79</v>
      </c>
      <c r="E130" s="2"/>
      <c r="F130" s="8">
        <f t="shared" si="31"/>
        <v>2.1545752328957957E-3</v>
      </c>
      <c r="G130" s="2"/>
      <c r="H130" s="7">
        <v>1927.34</v>
      </c>
      <c r="I130" s="2"/>
      <c r="J130" s="8">
        <f t="shared" si="32"/>
        <v>1.206160702943353E-3</v>
      </c>
      <c r="K130" s="2"/>
      <c r="L130" s="7">
        <f t="shared" si="33"/>
        <v>1346.45</v>
      </c>
      <c r="M130" s="2"/>
      <c r="N130" s="8">
        <f t="shared" si="34"/>
        <v>0.69860533170068595</v>
      </c>
      <c r="O130" s="11"/>
      <c r="P130" s="7">
        <v>6138.19</v>
      </c>
      <c r="Q130" s="2"/>
      <c r="R130" s="8">
        <f t="shared" si="35"/>
        <v>3.5277809408493645E-3</v>
      </c>
      <c r="S130" s="2"/>
      <c r="T130" s="7">
        <v>3975.55</v>
      </c>
      <c r="U130" s="2"/>
      <c r="V130" s="8">
        <f t="shared" si="36"/>
        <v>2.1776910439593026E-3</v>
      </c>
      <c r="W130" s="2"/>
      <c r="X130" s="7">
        <f t="shared" si="37"/>
        <v>2162.6399999999994</v>
      </c>
      <c r="Y130" s="2"/>
      <c r="Z130" s="8">
        <f t="shared" si="38"/>
        <v>0.54398510897863173</v>
      </c>
    </row>
    <row r="131" spans="1:26" s="24" customFormat="1" hidden="1" outlineLevel="2" x14ac:dyDescent="0.3">
      <c r="A131" s="27"/>
      <c r="B131" s="11" t="str">
        <f>CONCATENATE("          ", "6007", " - ", "STUDENT HOURLY")</f>
        <v xml:space="preserve">          6007 - STUDENT HOURLY</v>
      </c>
      <c r="C131" s="11"/>
      <c r="D131" s="7">
        <v>78788.070000000007</v>
      </c>
      <c r="E131" s="2"/>
      <c r="F131" s="8">
        <f t="shared" si="31"/>
        <v>5.1852691916604389E-2</v>
      </c>
      <c r="G131" s="2"/>
      <c r="H131" s="7">
        <v>63484.29</v>
      </c>
      <c r="I131" s="2"/>
      <c r="J131" s="8">
        <f t="shared" si="32"/>
        <v>3.9729500686054194E-2</v>
      </c>
      <c r="K131" s="2"/>
      <c r="L131" s="7">
        <f t="shared" si="33"/>
        <v>15303.780000000006</v>
      </c>
      <c r="M131" s="2"/>
      <c r="N131" s="8">
        <f t="shared" si="34"/>
        <v>0.24106404907418838</v>
      </c>
      <c r="O131" s="11"/>
      <c r="P131" s="7">
        <v>130743.89</v>
      </c>
      <c r="Q131" s="2"/>
      <c r="R131" s="8">
        <f t="shared" si="35"/>
        <v>7.5141988643966026E-2</v>
      </c>
      <c r="S131" s="2"/>
      <c r="T131" s="7">
        <v>84852.32</v>
      </c>
      <c r="U131" s="2"/>
      <c r="V131" s="8">
        <f t="shared" si="36"/>
        <v>4.6479641137243607E-2</v>
      </c>
      <c r="W131" s="2"/>
      <c r="X131" s="7">
        <f t="shared" si="37"/>
        <v>45891.569999999992</v>
      </c>
      <c r="Y131" s="2"/>
      <c r="Z131" s="8">
        <f t="shared" si="38"/>
        <v>0.54084048615288294</v>
      </c>
    </row>
    <row r="132" spans="1:26" s="24" customFormat="1" hidden="1" outlineLevel="2" x14ac:dyDescent="0.3">
      <c r="A132" s="27"/>
      <c r="B132" s="11" t="str">
        <f>CONCATENATE("          ", "6008", " - ", "STUDENT HOURLY-FICA EXEMPT")</f>
        <v xml:space="preserve">          6008 - STUDENT HOURLY-FICA EXEMPT</v>
      </c>
      <c r="C132" s="11"/>
      <c r="D132" s="7">
        <v>14279.3</v>
      </c>
      <c r="E132" s="2"/>
      <c r="F132" s="8">
        <f t="shared" si="31"/>
        <v>9.397617477935034E-3</v>
      </c>
      <c r="G132" s="2"/>
      <c r="H132" s="7">
        <v>433.03</v>
      </c>
      <c r="I132" s="2"/>
      <c r="J132" s="8">
        <f t="shared" si="32"/>
        <v>2.7099721335911681E-4</v>
      </c>
      <c r="K132" s="2"/>
      <c r="L132" s="7">
        <f t="shared" si="33"/>
        <v>13846.269999999999</v>
      </c>
      <c r="M132" s="2"/>
      <c r="N132" s="8">
        <f t="shared" si="34"/>
        <v>31.975313488672839</v>
      </c>
      <c r="O132" s="11"/>
      <c r="P132" s="7">
        <v>24063.65</v>
      </c>
      <c r="Q132" s="2"/>
      <c r="R132" s="8">
        <f t="shared" si="35"/>
        <v>1.3830019246271264E-2</v>
      </c>
      <c r="S132" s="2"/>
      <c r="T132" s="7">
        <v>433.03</v>
      </c>
      <c r="U132" s="2"/>
      <c r="V132" s="8">
        <f t="shared" si="36"/>
        <v>2.3720128102166913E-4</v>
      </c>
      <c r="W132" s="2"/>
      <c r="X132" s="7">
        <f t="shared" si="37"/>
        <v>23630.620000000003</v>
      </c>
      <c r="Y132" s="2"/>
      <c r="Z132" s="8">
        <f t="shared" si="38"/>
        <v>54.570399279495653</v>
      </c>
    </row>
    <row r="133" spans="1:26" s="28" customFormat="1" outlineLevel="1" collapsed="1" x14ac:dyDescent="0.3">
      <c r="A133" s="29"/>
      <c r="B133" s="14" t="str">
        <f>CONCATENATE("     ","Advertising/Promo                                 ")</f>
        <v xml:space="preserve">     Advertising/Promo                                 </v>
      </c>
      <c r="C133" s="14"/>
      <c r="D133" s="1">
        <f>SUM(OSRRefD22_2x_0)</f>
        <v>1630.51</v>
      </c>
      <c r="E133" s="1"/>
      <c r="F133" s="5">
        <f t="shared" ref="F133:F141" si="39">IF(D$12=0,0,D133/D$12)</f>
        <v>1.0730854645499327E-3</v>
      </c>
      <c r="G133" s="1"/>
      <c r="H133" s="1">
        <f>SUM(OSRRefH22_2x_0)</f>
        <v>9411.3700000000008</v>
      </c>
      <c r="I133" s="1"/>
      <c r="J133" s="5">
        <f t="shared" ref="J133:J141" si="40">IF(H$12=0,0,H133/H$12)</f>
        <v>5.8897883377400911E-3</v>
      </c>
      <c r="K133" s="1"/>
      <c r="L133" s="1">
        <f t="shared" ref="L133:L141" si="41">+D133-H133</f>
        <v>-7780.8600000000006</v>
      </c>
      <c r="M133" s="1"/>
      <c r="N133" s="5">
        <f t="shared" ref="N133:N141" si="42">IF(H133=0,0,L133/H133)</f>
        <v>-0.82675104687202816</v>
      </c>
      <c r="O133" s="14"/>
      <c r="P133" s="1">
        <f>SUM(OSRRefP22_2x_0)</f>
        <v>2124.14</v>
      </c>
      <c r="Q133" s="1"/>
      <c r="R133" s="5">
        <f t="shared" ref="R133:R141" si="43">IF(P$12=0,0,P133/P$12)</f>
        <v>1.2207997158275924E-3</v>
      </c>
      <c r="S133" s="1"/>
      <c r="T133" s="1">
        <f>SUM(OSRRefT22_2x_0)</f>
        <v>12002.2</v>
      </c>
      <c r="U133" s="1"/>
      <c r="V133" s="5">
        <f t="shared" ref="V133:V141" si="44">IF(T$12=0,0,T133/T$12)</f>
        <v>6.574457231781349E-3</v>
      </c>
      <c r="W133" s="1"/>
      <c r="X133" s="1">
        <f t="shared" ref="X133:X141" si="45">+P133-T133</f>
        <v>-9878.0600000000013</v>
      </c>
      <c r="Y133" s="1"/>
      <c r="Z133" s="5">
        <f t="shared" ref="Z133:Z141" si="46">IF(T133=0,0,X133/T133)</f>
        <v>-0.82302077952375408</v>
      </c>
    </row>
    <row r="134" spans="1:26" s="24" customFormat="1" hidden="1" outlineLevel="2" x14ac:dyDescent="0.3">
      <c r="A134" s="27"/>
      <c r="B134" s="11" t="str">
        <f>CONCATENATE("          ", "6362", " - ", "ADVERTISING EXPENSE")</f>
        <v xml:space="preserve">          6362 - ADVERTISING EXPENSE</v>
      </c>
      <c r="C134" s="11"/>
      <c r="D134" s="7">
        <v>1630.51</v>
      </c>
      <c r="E134" s="2"/>
      <c r="F134" s="8">
        <f t="shared" si="39"/>
        <v>1.0730854645499327E-3</v>
      </c>
      <c r="G134" s="2"/>
      <c r="H134" s="7">
        <v>9411.3700000000008</v>
      </c>
      <c r="I134" s="2"/>
      <c r="J134" s="8">
        <f t="shared" si="40"/>
        <v>5.8897883377400911E-3</v>
      </c>
      <c r="K134" s="2"/>
      <c r="L134" s="7">
        <f t="shared" si="41"/>
        <v>-7780.8600000000006</v>
      </c>
      <c r="M134" s="2"/>
      <c r="N134" s="8">
        <f t="shared" si="42"/>
        <v>-0.82675104687202816</v>
      </c>
      <c r="O134" s="11"/>
      <c r="P134" s="7">
        <v>2124.14</v>
      </c>
      <c r="Q134" s="2"/>
      <c r="R134" s="8">
        <f t="shared" si="43"/>
        <v>1.2207997158275924E-3</v>
      </c>
      <c r="S134" s="2"/>
      <c r="T134" s="7">
        <v>12002.2</v>
      </c>
      <c r="U134" s="2"/>
      <c r="V134" s="8">
        <f t="shared" si="44"/>
        <v>6.574457231781349E-3</v>
      </c>
      <c r="W134" s="2"/>
      <c r="X134" s="7">
        <f t="shared" si="45"/>
        <v>-9878.0600000000013</v>
      </c>
      <c r="Y134" s="2"/>
      <c r="Z134" s="8">
        <f t="shared" si="46"/>
        <v>-0.82302077952375408</v>
      </c>
    </row>
    <row r="135" spans="1:26" s="28" customFormat="1" outlineLevel="1" collapsed="1" x14ac:dyDescent="0.3">
      <c r="A135" s="29"/>
      <c r="B135" s="14" t="str">
        <f>CONCATENATE("     ","Bad Debts/Over/Short                              ")</f>
        <v xml:space="preserve">     Bad Debts/Over/Short                              </v>
      </c>
      <c r="C135" s="14"/>
      <c r="D135" s="1">
        <f>SUM(OSRRefD22_3x_0)</f>
        <v>149.46</v>
      </c>
      <c r="E135" s="1"/>
      <c r="F135" s="5">
        <f t="shared" si="39"/>
        <v>9.8363918977272717E-5</v>
      </c>
      <c r="G135" s="1"/>
      <c r="H135" s="1">
        <f>SUM(OSRRefH22_3x_0)</f>
        <v>70.56</v>
      </c>
      <c r="I135" s="1"/>
      <c r="J135" s="5">
        <f t="shared" si="40"/>
        <v>4.4157595027178907E-5</v>
      </c>
      <c r="K135" s="1"/>
      <c r="L135" s="1">
        <f t="shared" si="41"/>
        <v>78.900000000000006</v>
      </c>
      <c r="M135" s="1"/>
      <c r="N135" s="5">
        <f t="shared" si="42"/>
        <v>1.1181972789115646</v>
      </c>
      <c r="O135" s="14"/>
      <c r="P135" s="1">
        <f>SUM(OSRRefP22_3x_0)</f>
        <v>150.72999999999999</v>
      </c>
      <c r="Q135" s="1"/>
      <c r="R135" s="5">
        <f t="shared" si="43"/>
        <v>8.6628537274705518E-5</v>
      </c>
      <c r="S135" s="1"/>
      <c r="T135" s="1">
        <f>SUM(OSRRefT22_3x_0)</f>
        <v>75.540000000000006</v>
      </c>
      <c r="U135" s="1"/>
      <c r="V135" s="5">
        <f t="shared" si="44"/>
        <v>4.1378622193328152E-5</v>
      </c>
      <c r="W135" s="1"/>
      <c r="X135" s="1">
        <f t="shared" si="45"/>
        <v>75.189999999999984</v>
      </c>
      <c r="Y135" s="1"/>
      <c r="Z135" s="5">
        <f t="shared" si="46"/>
        <v>0.99536669314270554</v>
      </c>
    </row>
    <row r="136" spans="1:26" s="24" customFormat="1" hidden="1" outlineLevel="2" x14ac:dyDescent="0.3">
      <c r="A136" s="27"/>
      <c r="B136" s="11" t="str">
        <f>CONCATENATE("          ", "6272", " - ", "CASH (OVER/SHORT)")</f>
        <v xml:space="preserve">          6272 - CASH (OVER/SHORT)</v>
      </c>
      <c r="C136" s="11"/>
      <c r="D136" s="7">
        <v>149.46</v>
      </c>
      <c r="E136" s="2"/>
      <c r="F136" s="8">
        <f t="shared" si="39"/>
        <v>9.8363918977272717E-5</v>
      </c>
      <c r="G136" s="2"/>
      <c r="H136" s="7">
        <v>70.56</v>
      </c>
      <c r="I136" s="2"/>
      <c r="J136" s="8">
        <f t="shared" si="40"/>
        <v>4.4157595027178907E-5</v>
      </c>
      <c r="K136" s="2"/>
      <c r="L136" s="7">
        <f t="shared" si="41"/>
        <v>78.900000000000006</v>
      </c>
      <c r="M136" s="2"/>
      <c r="N136" s="8">
        <f t="shared" si="42"/>
        <v>1.1181972789115646</v>
      </c>
      <c r="O136" s="11"/>
      <c r="P136" s="7">
        <v>150.72999999999999</v>
      </c>
      <c r="Q136" s="2"/>
      <c r="R136" s="8">
        <f t="shared" si="43"/>
        <v>8.6628537274705518E-5</v>
      </c>
      <c r="S136" s="2"/>
      <c r="T136" s="7">
        <v>75.540000000000006</v>
      </c>
      <c r="U136" s="2"/>
      <c r="V136" s="8">
        <f t="shared" si="44"/>
        <v>4.1378622193328152E-5</v>
      </c>
      <c r="W136" s="2"/>
      <c r="X136" s="7">
        <f t="shared" si="45"/>
        <v>75.189999999999984</v>
      </c>
      <c r="Y136" s="2"/>
      <c r="Z136" s="8">
        <f t="shared" si="46"/>
        <v>0.99536669314270554</v>
      </c>
    </row>
    <row r="137" spans="1:26" s="28" customFormat="1" outlineLevel="1" collapsed="1" x14ac:dyDescent="0.3">
      <c r="A137" s="29"/>
      <c r="B137" s="14" t="str">
        <f>CONCATENATE("     ","Bank/card Fees                                    ")</f>
        <v xml:space="preserve">     Bank/card Fees                                    </v>
      </c>
      <c r="C137" s="14"/>
      <c r="D137" s="1">
        <f>SUM(OSRRefD22_4x_0)</f>
        <v>23422.38</v>
      </c>
      <c r="E137" s="1"/>
      <c r="F137" s="5">
        <f t="shared" si="39"/>
        <v>1.5414941044927693E-2</v>
      </c>
      <c r="G137" s="1"/>
      <c r="H137" s="1">
        <f>SUM(OSRRefH22_4x_0)</f>
        <v>22140.34</v>
      </c>
      <c r="I137" s="1"/>
      <c r="J137" s="5">
        <f t="shared" si="40"/>
        <v>1.3855784686565339E-2</v>
      </c>
      <c r="K137" s="1"/>
      <c r="L137" s="1">
        <f t="shared" si="41"/>
        <v>1282.0400000000009</v>
      </c>
      <c r="M137" s="1"/>
      <c r="N137" s="5">
        <f t="shared" si="42"/>
        <v>5.7905163154676073E-2</v>
      </c>
      <c r="O137" s="14"/>
      <c r="P137" s="1">
        <f>SUM(OSRRefP22_4x_0)</f>
        <v>27459.72</v>
      </c>
      <c r="Q137" s="1"/>
      <c r="R137" s="5">
        <f t="shared" si="43"/>
        <v>1.5781830939912273E-2</v>
      </c>
      <c r="S137" s="1"/>
      <c r="T137" s="1">
        <f>SUM(OSRRefT22_4x_0)</f>
        <v>25317.55</v>
      </c>
      <c r="U137" s="1"/>
      <c r="V137" s="5">
        <f t="shared" si="44"/>
        <v>1.3868219967046531E-2</v>
      </c>
      <c r="W137" s="1"/>
      <c r="X137" s="1">
        <f t="shared" si="45"/>
        <v>2142.1700000000019</v>
      </c>
      <c r="Y137" s="1"/>
      <c r="Z137" s="5">
        <f t="shared" si="46"/>
        <v>8.4612057643808428E-2</v>
      </c>
    </row>
    <row r="138" spans="1:26" s="24" customFormat="1" hidden="1" outlineLevel="2" x14ac:dyDescent="0.3">
      <c r="A138" s="27"/>
      <c r="B138" s="11" t="str">
        <f>CONCATENATE("          ", "6381", " - ", "BANK/CREDIT CARD FEES")</f>
        <v xml:space="preserve">          6381 - BANK/CREDIT CARD FEES</v>
      </c>
      <c r="C138" s="11"/>
      <c r="D138" s="7">
        <v>23422.38</v>
      </c>
      <c r="E138" s="2"/>
      <c r="F138" s="8">
        <f t="shared" si="39"/>
        <v>1.5414941044927693E-2</v>
      </c>
      <c r="G138" s="2"/>
      <c r="H138" s="7">
        <v>22140.34</v>
      </c>
      <c r="I138" s="2"/>
      <c r="J138" s="8">
        <f t="shared" si="40"/>
        <v>1.3855784686565339E-2</v>
      </c>
      <c r="K138" s="2"/>
      <c r="L138" s="7">
        <f t="shared" si="41"/>
        <v>1282.0400000000009</v>
      </c>
      <c r="M138" s="2"/>
      <c r="N138" s="8">
        <f t="shared" si="42"/>
        <v>5.7905163154676073E-2</v>
      </c>
      <c r="O138" s="11"/>
      <c r="P138" s="7">
        <v>27459.72</v>
      </c>
      <c r="Q138" s="2"/>
      <c r="R138" s="8">
        <f t="shared" si="43"/>
        <v>1.5781830939912273E-2</v>
      </c>
      <c r="S138" s="2"/>
      <c r="T138" s="7">
        <v>25317.55</v>
      </c>
      <c r="U138" s="2"/>
      <c r="V138" s="8">
        <f t="shared" si="44"/>
        <v>1.3868219967046531E-2</v>
      </c>
      <c r="W138" s="2"/>
      <c r="X138" s="7">
        <f t="shared" si="45"/>
        <v>2142.1700000000019</v>
      </c>
      <c r="Y138" s="2"/>
      <c r="Z138" s="8">
        <f t="shared" si="46"/>
        <v>8.4612057643808428E-2</v>
      </c>
    </row>
    <row r="139" spans="1:26" s="28" customFormat="1" outlineLevel="1" collapsed="1" x14ac:dyDescent="0.3">
      <c r="A139" s="29"/>
      <c r="B139" s="14" t="str">
        <f>CONCATENATE("     ","Depreciation                                      ")</f>
        <v xml:space="preserve">     Depreciation                                      </v>
      </c>
      <c r="C139" s="14"/>
      <c r="D139" s="1">
        <f>SUM(OSRRefD22_5x_0)</f>
        <v>37856.22</v>
      </c>
      <c r="E139" s="1"/>
      <c r="F139" s="5">
        <f t="shared" si="39"/>
        <v>2.4914265735754122E-2</v>
      </c>
      <c r="G139" s="1"/>
      <c r="H139" s="1">
        <f>SUM(OSRRefH22_5x_0)</f>
        <v>40361.32</v>
      </c>
      <c r="I139" s="1"/>
      <c r="J139" s="5">
        <f t="shared" si="40"/>
        <v>2.5258770171802392E-2</v>
      </c>
      <c r="K139" s="1"/>
      <c r="L139" s="1">
        <f t="shared" si="41"/>
        <v>-2505.0999999999985</v>
      </c>
      <c r="M139" s="1"/>
      <c r="N139" s="5">
        <f t="shared" si="42"/>
        <v>-6.2066850142661306E-2</v>
      </c>
      <c r="O139" s="14"/>
      <c r="P139" s="1">
        <f>SUM(OSRRefP22_5x_0)</f>
        <v>75712.44</v>
      </c>
      <c r="Q139" s="1"/>
      <c r="R139" s="5">
        <f t="shared" si="43"/>
        <v>4.3513951640011317E-2</v>
      </c>
      <c r="S139" s="1"/>
      <c r="T139" s="1">
        <f>SUM(OSRRefT22_5x_0)</f>
        <v>79698.91</v>
      </c>
      <c r="U139" s="1"/>
      <c r="V139" s="5">
        <f t="shared" si="44"/>
        <v>4.3656752529918755E-2</v>
      </c>
      <c r="W139" s="1"/>
      <c r="X139" s="1">
        <f t="shared" si="45"/>
        <v>-3986.4700000000012</v>
      </c>
      <c r="Y139" s="1"/>
      <c r="Z139" s="5">
        <f t="shared" si="46"/>
        <v>-5.0019128241528037E-2</v>
      </c>
    </row>
    <row r="140" spans="1:26" s="24" customFormat="1" hidden="1" outlineLevel="2" x14ac:dyDescent="0.3">
      <c r="A140" s="27"/>
      <c r="B140" s="11" t="str">
        <f>CONCATENATE("          ", "6321", " - ", "BUILDING DEPRECIATION")</f>
        <v xml:space="preserve">          6321 - BUILDING DEPRECIATION</v>
      </c>
      <c r="C140" s="11"/>
      <c r="D140" s="7">
        <v>21477.03</v>
      </c>
      <c r="E140" s="2"/>
      <c r="F140" s="8">
        <f t="shared" si="39"/>
        <v>1.4134650333149038E-2</v>
      </c>
      <c r="G140" s="2"/>
      <c r="H140" s="7">
        <v>21477.03</v>
      </c>
      <c r="I140" s="2"/>
      <c r="J140" s="8">
        <f t="shared" si="40"/>
        <v>1.3440674505762078E-2</v>
      </c>
      <c r="K140" s="2"/>
      <c r="L140" s="7">
        <f t="shared" si="41"/>
        <v>0</v>
      </c>
      <c r="M140" s="2"/>
      <c r="N140" s="8">
        <f t="shared" si="42"/>
        <v>0</v>
      </c>
      <c r="O140" s="11"/>
      <c r="P140" s="7">
        <v>42954.06</v>
      </c>
      <c r="Q140" s="2"/>
      <c r="R140" s="8">
        <f t="shared" si="43"/>
        <v>2.468683996424028E-2</v>
      </c>
      <c r="S140" s="2"/>
      <c r="T140" s="7">
        <v>42954.06</v>
      </c>
      <c r="U140" s="2"/>
      <c r="V140" s="8">
        <f t="shared" si="44"/>
        <v>2.3528988885485155E-2</v>
      </c>
      <c r="W140" s="2"/>
      <c r="X140" s="7">
        <f t="shared" si="45"/>
        <v>0</v>
      </c>
      <c r="Y140" s="2"/>
      <c r="Z140" s="8">
        <f t="shared" si="46"/>
        <v>0</v>
      </c>
    </row>
    <row r="141" spans="1:26" s="24" customFormat="1" hidden="1" outlineLevel="2" x14ac:dyDescent="0.3">
      <c r="A141" s="27"/>
      <c r="B141" s="11" t="str">
        <f>CONCATENATE("          ", "6322", " - ", "EQUIPMENT DEPRECIATION EXPENSE")</f>
        <v xml:space="preserve">          6322 - EQUIPMENT DEPRECIATION EXPENSE</v>
      </c>
      <c r="C141" s="11"/>
      <c r="D141" s="7">
        <v>16379.19</v>
      </c>
      <c r="E141" s="2"/>
      <c r="F141" s="8">
        <f t="shared" si="39"/>
        <v>1.0779615402605082E-2</v>
      </c>
      <c r="G141" s="2"/>
      <c r="H141" s="7">
        <v>18884.29</v>
      </c>
      <c r="I141" s="2"/>
      <c r="J141" s="8">
        <f t="shared" si="40"/>
        <v>1.1818095666040312E-2</v>
      </c>
      <c r="K141" s="2"/>
      <c r="L141" s="7">
        <f t="shared" si="41"/>
        <v>-2505.1000000000004</v>
      </c>
      <c r="M141" s="2"/>
      <c r="N141" s="8">
        <f t="shared" si="42"/>
        <v>-0.13265523882549993</v>
      </c>
      <c r="O141" s="11"/>
      <c r="P141" s="7">
        <v>32758.38</v>
      </c>
      <c r="Q141" s="2"/>
      <c r="R141" s="8">
        <f t="shared" si="43"/>
        <v>1.8827111675771033E-2</v>
      </c>
      <c r="S141" s="2"/>
      <c r="T141" s="7">
        <v>36744.85</v>
      </c>
      <c r="U141" s="2"/>
      <c r="V141" s="8">
        <f t="shared" si="44"/>
        <v>2.0127763644433593E-2</v>
      </c>
      <c r="W141" s="2"/>
      <c r="X141" s="7">
        <f t="shared" si="45"/>
        <v>-3986.4699999999975</v>
      </c>
      <c r="Y141" s="2"/>
      <c r="Z141" s="8">
        <f t="shared" si="46"/>
        <v>-0.10849057759114536</v>
      </c>
    </row>
    <row r="142" spans="1:26" s="28" customFormat="1" outlineLevel="1" collapsed="1" x14ac:dyDescent="0.3">
      <c r="A142" s="29"/>
      <c r="B142" s="14" t="str">
        <f>CONCATENATE("     ","Discounts and Markdowns                           ")</f>
        <v xml:space="preserve">     Discounts and Markdowns                           </v>
      </c>
      <c r="C142" s="14"/>
      <c r="D142" s="1">
        <f>SUM(OSRRefD22_6x_0)</f>
        <v>-157.30000000000001</v>
      </c>
      <c r="E142" s="1"/>
      <c r="F142" s="5">
        <f t="shared" ref="F142:F144" si="47">IF(D$12=0,0,D142/D$12)</f>
        <v>-1.0352364816756991E-4</v>
      </c>
      <c r="G142" s="1"/>
      <c r="H142" s="1">
        <f>SUM(OSRRefH22_6x_0)</f>
        <v>0</v>
      </c>
      <c r="I142" s="1"/>
      <c r="J142" s="5">
        <f t="shared" ref="J142:J144" si="48">IF(H$12=0,0,H142/H$12)</f>
        <v>0</v>
      </c>
      <c r="K142" s="1"/>
      <c r="L142" s="1">
        <f t="shared" ref="L142:L144" si="49">+D142-H142</f>
        <v>-157.30000000000001</v>
      </c>
      <c r="M142" s="1"/>
      <c r="N142" s="5">
        <f t="shared" ref="N142:N144" si="50">IF(H142=0,0,L142/H142)</f>
        <v>0</v>
      </c>
      <c r="O142" s="14"/>
      <c r="P142" s="1">
        <f>SUM(OSRRefP22_6x_0)</f>
        <v>-157.97999999999999</v>
      </c>
      <c r="Q142" s="1"/>
      <c r="R142" s="5">
        <f t="shared" ref="R142:R144" si="51">IF(P$12=0,0,P142/P$12)</f>
        <v>-9.0795304973515409E-5</v>
      </c>
      <c r="S142" s="1"/>
      <c r="T142" s="1">
        <f>SUM(OSRRefT22_6x_0)</f>
        <v>0</v>
      </c>
      <c r="U142" s="1"/>
      <c r="V142" s="5">
        <f t="shared" ref="V142:V144" si="52">IF(T$12=0,0,T142/T$12)</f>
        <v>0</v>
      </c>
      <c r="W142" s="1"/>
      <c r="X142" s="1">
        <f t="shared" ref="X142:X144" si="53">+P142-T142</f>
        <v>-157.97999999999999</v>
      </c>
      <c r="Y142" s="1"/>
      <c r="Z142" s="5">
        <f t="shared" ref="Z142:Z144" si="54">IF(T142=0,0,X142/T142)</f>
        <v>0</v>
      </c>
    </row>
    <row r="143" spans="1:26" s="24" customFormat="1" hidden="1" outlineLevel="2" x14ac:dyDescent="0.3">
      <c r="A143" s="27"/>
      <c r="B143" s="11" t="str">
        <f>CONCATENATE("          ", "6382", " - ", "DISCOUNTS/MARK DOWNS")</f>
        <v xml:space="preserve">          6382 - DISCOUNTS/MARK DOWNS</v>
      </c>
      <c r="C143" s="11"/>
      <c r="D143" s="7"/>
      <c r="E143" s="2"/>
      <c r="F143" s="8">
        <f t="shared" si="47"/>
        <v>0</v>
      </c>
      <c r="G143" s="2"/>
      <c r="H143" s="7">
        <v>0</v>
      </c>
      <c r="I143" s="2"/>
      <c r="J143" s="8">
        <f t="shared" si="48"/>
        <v>0</v>
      </c>
      <c r="K143" s="2"/>
      <c r="L143" s="7">
        <f t="shared" si="49"/>
        <v>0</v>
      </c>
      <c r="M143" s="2"/>
      <c r="N143" s="8">
        <f t="shared" si="50"/>
        <v>0</v>
      </c>
      <c r="O143" s="11"/>
      <c r="P143" s="7"/>
      <c r="Q143" s="2"/>
      <c r="R143" s="8">
        <f t="shared" si="51"/>
        <v>0</v>
      </c>
      <c r="S143" s="2"/>
      <c r="T143" s="7">
        <v>0</v>
      </c>
      <c r="U143" s="2"/>
      <c r="V143" s="8">
        <f t="shared" si="52"/>
        <v>0</v>
      </c>
      <c r="W143" s="2"/>
      <c r="X143" s="7">
        <f t="shared" si="53"/>
        <v>0</v>
      </c>
      <c r="Y143" s="2"/>
      <c r="Z143" s="8">
        <f t="shared" si="54"/>
        <v>0</v>
      </c>
    </row>
    <row r="144" spans="1:26" s="24" customFormat="1" hidden="1" outlineLevel="2" x14ac:dyDescent="0.3">
      <c r="A144" s="27"/>
      <c r="B144" s="11" t="str">
        <f>CONCATENATE("          ", "9175", " - ", "EARNED DISCOUNTS")</f>
        <v xml:space="preserve">          9175 - EARNED DISCOUNTS</v>
      </c>
      <c r="C144" s="11"/>
      <c r="D144" s="7">
        <v>-157.30000000000001</v>
      </c>
      <c r="E144" s="2"/>
      <c r="F144" s="8">
        <f t="shared" si="47"/>
        <v>-1.0352364816756991E-4</v>
      </c>
      <c r="G144" s="2"/>
      <c r="H144" s="7"/>
      <c r="I144" s="2"/>
      <c r="J144" s="8">
        <f t="shared" si="48"/>
        <v>0</v>
      </c>
      <c r="K144" s="2"/>
      <c r="L144" s="7">
        <f t="shared" si="49"/>
        <v>-157.30000000000001</v>
      </c>
      <c r="M144" s="2"/>
      <c r="N144" s="8">
        <f t="shared" si="50"/>
        <v>0</v>
      </c>
      <c r="O144" s="11"/>
      <c r="P144" s="7">
        <v>-157.97999999999999</v>
      </c>
      <c r="Q144" s="2"/>
      <c r="R144" s="8">
        <f t="shared" si="51"/>
        <v>-9.0795304973515409E-5</v>
      </c>
      <c r="S144" s="2"/>
      <c r="T144" s="7"/>
      <c r="U144" s="2"/>
      <c r="V144" s="8">
        <f t="shared" si="52"/>
        <v>0</v>
      </c>
      <c r="W144" s="2"/>
      <c r="X144" s="7">
        <f t="shared" si="53"/>
        <v>-157.97999999999999</v>
      </c>
      <c r="Y144" s="2"/>
      <c r="Z144" s="8">
        <f t="shared" si="54"/>
        <v>0</v>
      </c>
    </row>
    <row r="145" spans="1:26" s="28" customFormat="1" outlineLevel="1" collapsed="1" x14ac:dyDescent="0.3">
      <c r="A145" s="29"/>
      <c r="B145" s="14" t="str">
        <f>CONCATENATE("     ","Employees' Appreciation                           ")</f>
        <v xml:space="preserve">     Employees' Appreciation                           </v>
      </c>
      <c r="C145" s="14"/>
      <c r="D145" s="1">
        <f>SUM(OSRRefD22_7x_0)</f>
        <v>400</v>
      </c>
      <c r="E145" s="1"/>
      <c r="F145" s="5">
        <f t="shared" ref="F145:F151" si="55">IF(D$12=0,0,D145/D$12)</f>
        <v>2.6325148930087704E-4</v>
      </c>
      <c r="G145" s="1"/>
      <c r="H145" s="1">
        <f>SUM(OSRRefH22_7x_0)</f>
        <v>0</v>
      </c>
      <c r="I145" s="1"/>
      <c r="J145" s="5">
        <f t="shared" ref="J145:J151" si="56">IF(H$12=0,0,H145/H$12)</f>
        <v>0</v>
      </c>
      <c r="K145" s="1"/>
      <c r="L145" s="1">
        <f t="shared" ref="L145:L151" si="57">+D145-H145</f>
        <v>400</v>
      </c>
      <c r="M145" s="1"/>
      <c r="N145" s="5">
        <f t="shared" ref="N145:N151" si="58">IF(H145=0,0,L145/H145)</f>
        <v>0</v>
      </c>
      <c r="O145" s="14"/>
      <c r="P145" s="1">
        <f>SUM(OSRRefP22_7x_0)</f>
        <v>937.36</v>
      </c>
      <c r="Q145" s="1"/>
      <c r="R145" s="5">
        <f t="shared" ref="R145:R151" si="59">IF(P$12=0,0,P145/P$12)</f>
        <v>5.3872570622847456E-4</v>
      </c>
      <c r="S145" s="1"/>
      <c r="T145" s="1">
        <f>SUM(OSRRefT22_7x_0)</f>
        <v>107.7</v>
      </c>
      <c r="U145" s="1"/>
      <c r="V145" s="5">
        <f t="shared" ref="V145:V151" si="60">IF(T$12=0,0,T145/T$12)</f>
        <v>5.8994937916619558E-5</v>
      </c>
      <c r="W145" s="1"/>
      <c r="X145" s="1">
        <f t="shared" ref="X145:X151" si="61">+P145-T145</f>
        <v>829.66</v>
      </c>
      <c r="Y145" s="1"/>
      <c r="Z145" s="5">
        <f t="shared" ref="Z145:Z151" si="62">IF(T145=0,0,X145/T145)</f>
        <v>7.7034354688950781</v>
      </c>
    </row>
    <row r="146" spans="1:26" s="24" customFormat="1" hidden="1" outlineLevel="2" x14ac:dyDescent="0.3">
      <c r="A146" s="27"/>
      <c r="B146" s="11" t="str">
        <f>CONCATENATE("          ", "6277", " - ", "EMPLOYEE APPRECIATION")</f>
        <v xml:space="preserve">          6277 - EMPLOYEE APPRECIATION</v>
      </c>
      <c r="C146" s="11"/>
      <c r="D146" s="7">
        <v>400</v>
      </c>
      <c r="E146" s="2"/>
      <c r="F146" s="8">
        <f t="shared" si="55"/>
        <v>2.6325148930087704E-4</v>
      </c>
      <c r="G146" s="2"/>
      <c r="H146" s="7"/>
      <c r="I146" s="2"/>
      <c r="J146" s="8">
        <f t="shared" si="56"/>
        <v>0</v>
      </c>
      <c r="K146" s="2"/>
      <c r="L146" s="7">
        <f t="shared" si="57"/>
        <v>400</v>
      </c>
      <c r="M146" s="2"/>
      <c r="N146" s="8">
        <f t="shared" si="58"/>
        <v>0</v>
      </c>
      <c r="O146" s="11"/>
      <c r="P146" s="7">
        <v>937.36</v>
      </c>
      <c r="Q146" s="2"/>
      <c r="R146" s="8">
        <f t="shared" si="59"/>
        <v>5.3872570622847456E-4</v>
      </c>
      <c r="S146" s="2"/>
      <c r="T146" s="7">
        <v>107.7</v>
      </c>
      <c r="U146" s="2"/>
      <c r="V146" s="8">
        <f t="shared" si="60"/>
        <v>5.8994937916619558E-5</v>
      </c>
      <c r="W146" s="2"/>
      <c r="X146" s="7">
        <f t="shared" si="61"/>
        <v>829.66</v>
      </c>
      <c r="Y146" s="2"/>
      <c r="Z146" s="8">
        <f t="shared" si="62"/>
        <v>7.7034354688950781</v>
      </c>
    </row>
    <row r="147" spans="1:26" s="28" customFormat="1" outlineLevel="1" collapsed="1" x14ac:dyDescent="0.3">
      <c r="A147" s="29"/>
      <c r="B147" s="14" t="str">
        <f>CONCATENATE("     ","Equipment Rental                                  ")</f>
        <v xml:space="preserve">     Equipment Rental                                  </v>
      </c>
      <c r="C147" s="14"/>
      <c r="D147" s="1">
        <f>SUM(OSRRefD22_8x_0)</f>
        <v>2303.73</v>
      </c>
      <c r="E147" s="1"/>
      <c r="F147" s="5">
        <f t="shared" si="55"/>
        <v>1.5161508836177737E-3</v>
      </c>
      <c r="G147" s="1"/>
      <c r="H147" s="1">
        <f>SUM(OSRRefH22_8x_0)</f>
        <v>1388.16</v>
      </c>
      <c r="I147" s="1"/>
      <c r="J147" s="5">
        <f t="shared" si="56"/>
        <v>8.6873309400409119E-4</v>
      </c>
      <c r="K147" s="1"/>
      <c r="L147" s="1">
        <f t="shared" si="57"/>
        <v>915.56999999999994</v>
      </c>
      <c r="M147" s="1"/>
      <c r="N147" s="5">
        <f t="shared" si="58"/>
        <v>0.65955653526970948</v>
      </c>
      <c r="O147" s="14"/>
      <c r="P147" s="1">
        <f>SUM(OSRRefP22_8x_0)</f>
        <v>3691.89</v>
      </c>
      <c r="Q147" s="1"/>
      <c r="R147" s="5">
        <f t="shared" si="59"/>
        <v>2.1218273102840348E-3</v>
      </c>
      <c r="S147" s="1"/>
      <c r="T147" s="1">
        <f>SUM(OSRRefT22_8x_0)</f>
        <v>2776.32</v>
      </c>
      <c r="U147" s="1"/>
      <c r="V147" s="5">
        <f t="shared" si="60"/>
        <v>1.5207876140823512E-3</v>
      </c>
      <c r="W147" s="1"/>
      <c r="X147" s="1">
        <f t="shared" si="61"/>
        <v>915.56999999999971</v>
      </c>
      <c r="Y147" s="1"/>
      <c r="Z147" s="5">
        <f t="shared" si="62"/>
        <v>0.32977826763485463</v>
      </c>
    </row>
    <row r="148" spans="1:26" s="24" customFormat="1" hidden="1" outlineLevel="2" x14ac:dyDescent="0.3">
      <c r="A148" s="27"/>
      <c r="B148" s="11" t="str">
        <f>CONCATENATE("          ", "6351", " - ", "EQUIPMENT RENTAL")</f>
        <v xml:space="preserve">          6351 - EQUIPMENT RENTAL</v>
      </c>
      <c r="C148" s="11"/>
      <c r="D148" s="7">
        <v>2303.73</v>
      </c>
      <c r="E148" s="2"/>
      <c r="F148" s="8">
        <f t="shared" si="55"/>
        <v>1.5161508836177737E-3</v>
      </c>
      <c r="G148" s="2"/>
      <c r="H148" s="7">
        <v>1388.16</v>
      </c>
      <c r="I148" s="2"/>
      <c r="J148" s="8">
        <f t="shared" si="56"/>
        <v>8.6873309400409119E-4</v>
      </c>
      <c r="K148" s="2"/>
      <c r="L148" s="7">
        <f t="shared" si="57"/>
        <v>915.56999999999994</v>
      </c>
      <c r="M148" s="2"/>
      <c r="N148" s="8">
        <f t="shared" si="58"/>
        <v>0.65955653526970948</v>
      </c>
      <c r="O148" s="11"/>
      <c r="P148" s="7">
        <v>3691.89</v>
      </c>
      <c r="Q148" s="2"/>
      <c r="R148" s="8">
        <f t="shared" si="59"/>
        <v>2.1218273102840348E-3</v>
      </c>
      <c r="S148" s="2"/>
      <c r="T148" s="7">
        <v>2776.32</v>
      </c>
      <c r="U148" s="2"/>
      <c r="V148" s="8">
        <f t="shared" si="60"/>
        <v>1.5207876140823512E-3</v>
      </c>
      <c r="W148" s="2"/>
      <c r="X148" s="7">
        <f t="shared" si="61"/>
        <v>915.56999999999971</v>
      </c>
      <c r="Y148" s="2"/>
      <c r="Z148" s="8">
        <f t="shared" si="62"/>
        <v>0.32977826763485463</v>
      </c>
    </row>
    <row r="149" spans="1:26" s="28" customFormat="1" outlineLevel="1" collapsed="1" x14ac:dyDescent="0.3">
      <c r="A149" s="29"/>
      <c r="B149" s="14" t="str">
        <f>CONCATENATE("     ","Freight out/Postage                               ")</f>
        <v xml:space="preserve">     Freight out/Postage                               </v>
      </c>
      <c r="C149" s="14"/>
      <c r="D149" s="1">
        <f>SUM(OSRRefD22_9x_0)</f>
        <v>-19372.54</v>
      </c>
      <c r="E149" s="1"/>
      <c r="F149" s="5">
        <f t="shared" si="55"/>
        <v>-1.2749625016352033E-2</v>
      </c>
      <c r="G149" s="1"/>
      <c r="H149" s="1">
        <f>SUM(OSRRefH22_9x_0)</f>
        <v>-83736.579999999987</v>
      </c>
      <c r="I149" s="1"/>
      <c r="J149" s="5">
        <f t="shared" si="56"/>
        <v>-5.2403712990376536E-2</v>
      </c>
      <c r="K149" s="1"/>
      <c r="L149" s="1">
        <f t="shared" si="57"/>
        <v>64364.039999999986</v>
      </c>
      <c r="M149" s="1"/>
      <c r="N149" s="5">
        <f t="shared" si="58"/>
        <v>-0.76864901814714659</v>
      </c>
      <c r="O149" s="14"/>
      <c r="P149" s="1">
        <f>SUM(OSRRefP22_9x_0)</f>
        <v>-15782.930000000002</v>
      </c>
      <c r="Q149" s="1"/>
      <c r="R149" s="5">
        <f t="shared" si="59"/>
        <v>-9.0708693678038105E-3</v>
      </c>
      <c r="S149" s="1"/>
      <c r="T149" s="1">
        <f>SUM(OSRRefT22_9x_0)</f>
        <v>-74807.929999999993</v>
      </c>
      <c r="U149" s="1"/>
      <c r="V149" s="5">
        <f t="shared" si="60"/>
        <v>-4.0977615469088402E-2</v>
      </c>
      <c r="W149" s="1"/>
      <c r="X149" s="1">
        <f t="shared" si="61"/>
        <v>59024.999999999993</v>
      </c>
      <c r="Y149" s="1"/>
      <c r="Z149" s="5">
        <f t="shared" si="62"/>
        <v>-0.78902062923008298</v>
      </c>
    </row>
    <row r="150" spans="1:26" s="24" customFormat="1" hidden="1" outlineLevel="2" x14ac:dyDescent="0.3">
      <c r="A150" s="27"/>
      <c r="B150" s="11" t="str">
        <f>CONCATENATE("          ", "6305", " - ", "FREIGHT OUT")</f>
        <v xml:space="preserve">          6305 - FREIGHT OUT</v>
      </c>
      <c r="C150" s="11"/>
      <c r="D150" s="7">
        <v>4399.6499999999996</v>
      </c>
      <c r="E150" s="2"/>
      <c r="F150" s="8">
        <f t="shared" si="55"/>
        <v>2.8955360372565093E-3</v>
      </c>
      <c r="G150" s="2"/>
      <c r="H150" s="7">
        <v>8244.4599999999991</v>
      </c>
      <c r="I150" s="2"/>
      <c r="J150" s="8">
        <f t="shared" si="56"/>
        <v>5.1595170903879729E-3</v>
      </c>
      <c r="K150" s="2"/>
      <c r="L150" s="7">
        <f t="shared" si="57"/>
        <v>-3844.8099999999995</v>
      </c>
      <c r="M150" s="2"/>
      <c r="N150" s="8">
        <f t="shared" si="58"/>
        <v>-0.46635073734362226</v>
      </c>
      <c r="O150" s="11"/>
      <c r="P150" s="7">
        <v>15289.15</v>
      </c>
      <c r="Q150" s="2"/>
      <c r="R150" s="8">
        <f t="shared" si="59"/>
        <v>8.7870808775530017E-3</v>
      </c>
      <c r="S150" s="2"/>
      <c r="T150" s="7">
        <v>20333.55</v>
      </c>
      <c r="U150" s="2"/>
      <c r="V150" s="8">
        <f t="shared" si="60"/>
        <v>1.11381292467454E-2</v>
      </c>
      <c r="W150" s="2"/>
      <c r="X150" s="7">
        <f t="shared" si="61"/>
        <v>-5044.3999999999996</v>
      </c>
      <c r="Y150" s="2"/>
      <c r="Z150" s="8">
        <f t="shared" si="62"/>
        <v>-0.24808260239849902</v>
      </c>
    </row>
    <row r="151" spans="1:26" s="24" customFormat="1" hidden="1" outlineLevel="2" x14ac:dyDescent="0.3">
      <c r="A151" s="27"/>
      <c r="B151" s="11" t="str">
        <f>CONCATENATE("          ", "6307", " - ", "POSTAGE")</f>
        <v xml:space="preserve">          6307 - POSTAGE</v>
      </c>
      <c r="C151" s="11"/>
      <c r="D151" s="7">
        <v>-23772.19</v>
      </c>
      <c r="E151" s="2"/>
      <c r="F151" s="8">
        <f t="shared" si="55"/>
        <v>-1.5645161053608539E-2</v>
      </c>
      <c r="G151" s="2"/>
      <c r="H151" s="7">
        <v>-91981.04</v>
      </c>
      <c r="I151" s="2"/>
      <c r="J151" s="8">
        <f t="shared" si="56"/>
        <v>-5.7563230080764513E-2</v>
      </c>
      <c r="K151" s="2"/>
      <c r="L151" s="7">
        <f t="shared" si="57"/>
        <v>68208.849999999991</v>
      </c>
      <c r="M151" s="2"/>
      <c r="N151" s="8">
        <f t="shared" si="58"/>
        <v>-0.74155336795496107</v>
      </c>
      <c r="O151" s="11"/>
      <c r="P151" s="7">
        <v>-31072.080000000002</v>
      </c>
      <c r="Q151" s="2"/>
      <c r="R151" s="8">
        <f t="shared" si="59"/>
        <v>-1.7857950245356812E-2</v>
      </c>
      <c r="S151" s="2"/>
      <c r="T151" s="7">
        <v>-95141.48</v>
      </c>
      <c r="U151" s="2"/>
      <c r="V151" s="8">
        <f t="shared" si="60"/>
        <v>-5.2115744715833807E-2</v>
      </c>
      <c r="W151" s="2"/>
      <c r="X151" s="7">
        <f t="shared" si="61"/>
        <v>64069.399999999994</v>
      </c>
      <c r="Y151" s="2"/>
      <c r="Z151" s="8">
        <f t="shared" si="62"/>
        <v>-0.67341184938472676</v>
      </c>
    </row>
    <row r="152" spans="1:26" s="28" customFormat="1" outlineLevel="1" collapsed="1" x14ac:dyDescent="0.3">
      <c r="A152" s="29"/>
      <c r="B152" s="14" t="str">
        <f>CONCATENATE("     ","General                                           ")</f>
        <v xml:space="preserve">     General                                           </v>
      </c>
      <c r="C152" s="14"/>
      <c r="D152" s="1">
        <f>SUM(OSRRefD22_10x_0)</f>
        <v>2609.29</v>
      </c>
      <c r="E152" s="1"/>
      <c r="F152" s="5">
        <f t="shared" ref="F152:F160" si="63">IF(D$12=0,0,D152/D$12)</f>
        <v>1.7172486962947137E-3</v>
      </c>
      <c r="G152" s="1"/>
      <c r="H152" s="1">
        <f>SUM(OSRRefH22_10x_0)</f>
        <v>113.26</v>
      </c>
      <c r="I152" s="1"/>
      <c r="J152" s="5">
        <f t="shared" ref="J152:J160" si="64">IF(H$12=0,0,H152/H$12)</f>
        <v>7.0879949160689956E-5</v>
      </c>
      <c r="K152" s="1"/>
      <c r="L152" s="1">
        <f t="shared" ref="L152:L160" si="65">+D152-H152</f>
        <v>2496.0299999999997</v>
      </c>
      <c r="M152" s="1"/>
      <c r="N152" s="5">
        <f t="shared" ref="N152:N160" si="66">IF(H152=0,0,L152/H152)</f>
        <v>22.038054034963796</v>
      </c>
      <c r="O152" s="14"/>
      <c r="P152" s="1">
        <f>SUM(OSRRefP22_10x_0)</f>
        <v>3387.29</v>
      </c>
      <c r="Q152" s="1"/>
      <c r="R152" s="5">
        <f t="shared" ref="R152:R160" si="67">IF(P$12=0,0,P152/P$12)</f>
        <v>1.9467655942761047E-3</v>
      </c>
      <c r="S152" s="1"/>
      <c r="T152" s="1">
        <f>SUM(OSRRefT22_10x_0)</f>
        <v>-1697.73</v>
      </c>
      <c r="U152" s="1"/>
      <c r="V152" s="5">
        <f t="shared" ref="V152:V160" si="68">IF(T$12=0,0,T152/T$12)</f>
        <v>-9.2996727900819423E-4</v>
      </c>
      <c r="W152" s="1"/>
      <c r="X152" s="1">
        <f t="shared" ref="X152:X160" si="69">+P152-T152</f>
        <v>5085.0200000000004</v>
      </c>
      <c r="Y152" s="1"/>
      <c r="Z152" s="5">
        <f t="shared" ref="Z152:Z160" si="70">IF(T152=0,0,X152/T152)</f>
        <v>-2.9951876918002274</v>
      </c>
    </row>
    <row r="153" spans="1:26" s="24" customFormat="1" hidden="1" outlineLevel="2" x14ac:dyDescent="0.3">
      <c r="A153" s="27"/>
      <c r="B153" s="11" t="str">
        <f>CONCATENATE("          ", "6279", " - ", "GENERAL EXPENSE")</f>
        <v xml:space="preserve">          6279 - GENERAL EXPENSE</v>
      </c>
      <c r="C153" s="11"/>
      <c r="D153" s="7">
        <v>2609.29</v>
      </c>
      <c r="E153" s="2"/>
      <c r="F153" s="8">
        <f t="shared" si="63"/>
        <v>1.7172486962947137E-3</v>
      </c>
      <c r="G153" s="2"/>
      <c r="H153" s="7">
        <v>113.26</v>
      </c>
      <c r="I153" s="2"/>
      <c r="J153" s="8">
        <f t="shared" si="64"/>
        <v>7.0879949160689956E-5</v>
      </c>
      <c r="K153" s="2"/>
      <c r="L153" s="7">
        <f t="shared" si="65"/>
        <v>2496.0299999999997</v>
      </c>
      <c r="M153" s="2"/>
      <c r="N153" s="8">
        <f t="shared" si="66"/>
        <v>22.038054034963796</v>
      </c>
      <c r="O153" s="11"/>
      <c r="P153" s="7">
        <v>3387.29</v>
      </c>
      <c r="Q153" s="2"/>
      <c r="R153" s="8">
        <f t="shared" si="67"/>
        <v>1.9467655942761047E-3</v>
      </c>
      <c r="S153" s="2"/>
      <c r="T153" s="7">
        <v>-1697.73</v>
      </c>
      <c r="U153" s="2"/>
      <c r="V153" s="8">
        <f t="shared" si="68"/>
        <v>-9.2996727900819423E-4</v>
      </c>
      <c r="W153" s="2"/>
      <c r="X153" s="7">
        <f t="shared" si="69"/>
        <v>5085.0200000000004</v>
      </c>
      <c r="Y153" s="2"/>
      <c r="Z153" s="8">
        <f t="shared" si="70"/>
        <v>-2.9951876918002274</v>
      </c>
    </row>
    <row r="154" spans="1:26" s="28" customFormat="1" outlineLevel="1" collapsed="1" x14ac:dyDescent="0.3">
      <c r="A154" s="29"/>
      <c r="B154" s="14" t="str">
        <f>CONCATENATE("     ","Insurance                                         ")</f>
        <v xml:space="preserve">     Insurance                                         </v>
      </c>
      <c r="C154" s="14"/>
      <c r="D154" s="1">
        <f>SUM(OSRRefD22_11x_0)</f>
        <v>5825.58</v>
      </c>
      <c r="E154" s="1"/>
      <c r="F154" s="5">
        <f t="shared" si="63"/>
        <v>3.8339815276035084E-3</v>
      </c>
      <c r="G154" s="1"/>
      <c r="H154" s="1">
        <f>SUM(OSRRefH22_11x_0)</f>
        <v>4288.28</v>
      </c>
      <c r="I154" s="1"/>
      <c r="J154" s="5">
        <f t="shared" si="64"/>
        <v>2.6836753345117737E-3</v>
      </c>
      <c r="K154" s="1"/>
      <c r="L154" s="1">
        <f t="shared" si="65"/>
        <v>1537.3000000000002</v>
      </c>
      <c r="M154" s="1"/>
      <c r="N154" s="5">
        <f t="shared" si="66"/>
        <v>0.35848871808743837</v>
      </c>
      <c r="O154" s="14"/>
      <c r="P154" s="1">
        <f>SUM(OSRRefP22_11x_0)</f>
        <v>11651.16</v>
      </c>
      <c r="Q154" s="1"/>
      <c r="R154" s="5">
        <f t="shared" si="67"/>
        <v>6.696231329884947E-3</v>
      </c>
      <c r="S154" s="1"/>
      <c r="T154" s="1">
        <f>SUM(OSRRefT22_11x_0)</f>
        <v>8576.56</v>
      </c>
      <c r="U154" s="1"/>
      <c r="V154" s="5">
        <f t="shared" si="68"/>
        <v>4.6979909446440348E-3</v>
      </c>
      <c r="W154" s="1"/>
      <c r="X154" s="1">
        <f t="shared" si="69"/>
        <v>3074.6000000000004</v>
      </c>
      <c r="Y154" s="1"/>
      <c r="Z154" s="5">
        <f t="shared" si="70"/>
        <v>0.35848871808743837</v>
      </c>
    </row>
    <row r="155" spans="1:26" s="24" customFormat="1" hidden="1" outlineLevel="2" x14ac:dyDescent="0.3">
      <c r="A155" s="27"/>
      <c r="B155" s="11" t="str">
        <f>CONCATENATE("          ", "6314", " - ", "LIABILITY INSURANCE")</f>
        <v xml:space="preserve">          6314 - LIABILITY INSURANCE</v>
      </c>
      <c r="C155" s="11"/>
      <c r="D155" s="7">
        <v>5825.58</v>
      </c>
      <c r="E155" s="2"/>
      <c r="F155" s="8">
        <f t="shared" si="63"/>
        <v>3.8339815276035084E-3</v>
      </c>
      <c r="G155" s="2"/>
      <c r="H155" s="7">
        <v>4288.28</v>
      </c>
      <c r="I155" s="2"/>
      <c r="J155" s="8">
        <f t="shared" si="64"/>
        <v>2.6836753345117737E-3</v>
      </c>
      <c r="K155" s="2"/>
      <c r="L155" s="7">
        <f t="shared" si="65"/>
        <v>1537.3000000000002</v>
      </c>
      <c r="M155" s="2"/>
      <c r="N155" s="8">
        <f t="shared" si="66"/>
        <v>0.35848871808743837</v>
      </c>
      <c r="O155" s="11"/>
      <c r="P155" s="7">
        <v>11651.16</v>
      </c>
      <c r="Q155" s="2"/>
      <c r="R155" s="8">
        <f t="shared" si="67"/>
        <v>6.696231329884947E-3</v>
      </c>
      <c r="S155" s="2"/>
      <c r="T155" s="7">
        <v>8576.56</v>
      </c>
      <c r="U155" s="2"/>
      <c r="V155" s="8">
        <f t="shared" si="68"/>
        <v>4.6979909446440348E-3</v>
      </c>
      <c r="W155" s="2"/>
      <c r="X155" s="7">
        <f t="shared" si="69"/>
        <v>3074.6000000000004</v>
      </c>
      <c r="Y155" s="2"/>
      <c r="Z155" s="8">
        <f t="shared" si="70"/>
        <v>0.35848871808743837</v>
      </c>
    </row>
    <row r="156" spans="1:26" s="28" customFormat="1" outlineLevel="1" collapsed="1" x14ac:dyDescent="0.3">
      <c r="A156" s="29"/>
      <c r="B156" s="14" t="str">
        <f>CONCATENATE("     ","Interest                                          ")</f>
        <v xml:space="preserve">     Interest                                          </v>
      </c>
      <c r="C156" s="14"/>
      <c r="D156" s="1">
        <f>SUM(OSRRefD22_12x_0)</f>
        <v>3905</v>
      </c>
      <c r="E156" s="1"/>
      <c r="F156" s="5">
        <f t="shared" si="63"/>
        <v>2.5699926642998123E-3</v>
      </c>
      <c r="G156" s="1"/>
      <c r="H156" s="1">
        <f>SUM(OSRRefH22_12x_0)</f>
        <v>4044</v>
      </c>
      <c r="I156" s="1"/>
      <c r="J156" s="5">
        <f t="shared" si="64"/>
        <v>2.5308009394828727E-3</v>
      </c>
      <c r="K156" s="1"/>
      <c r="L156" s="1">
        <f t="shared" si="65"/>
        <v>-139</v>
      </c>
      <c r="M156" s="1"/>
      <c r="N156" s="5">
        <f t="shared" si="66"/>
        <v>-3.4371909000989118E-2</v>
      </c>
      <c r="O156" s="14"/>
      <c r="P156" s="1">
        <f>SUM(OSRRefP22_12x_0)</f>
        <v>7810</v>
      </c>
      <c r="Q156" s="1"/>
      <c r="R156" s="5">
        <f t="shared" si="67"/>
        <v>4.48861458313176E-3</v>
      </c>
      <c r="S156" s="1"/>
      <c r="T156" s="1">
        <f>SUM(OSRRefT22_12x_0)</f>
        <v>8088</v>
      </c>
      <c r="U156" s="1"/>
      <c r="V156" s="5">
        <f t="shared" si="68"/>
        <v>4.4303719393650786E-3</v>
      </c>
      <c r="W156" s="1"/>
      <c r="X156" s="1">
        <f t="shared" si="69"/>
        <v>-278</v>
      </c>
      <c r="Y156" s="1"/>
      <c r="Z156" s="5">
        <f t="shared" si="70"/>
        <v>-3.4371909000989118E-2</v>
      </c>
    </row>
    <row r="157" spans="1:26" s="24" customFormat="1" hidden="1" outlineLevel="2" x14ac:dyDescent="0.3">
      <c r="A157" s="27"/>
      <c r="B157" s="11" t="str">
        <f>CONCATENATE("          ", "6401", " - ", "INTEREST EXPENSE")</f>
        <v xml:space="preserve">          6401 - INTEREST EXPENSE</v>
      </c>
      <c r="C157" s="11"/>
      <c r="D157" s="7">
        <v>3905</v>
      </c>
      <c r="E157" s="2"/>
      <c r="F157" s="8">
        <f t="shared" si="63"/>
        <v>2.5699926642998123E-3</v>
      </c>
      <c r="G157" s="2"/>
      <c r="H157" s="7">
        <v>4044</v>
      </c>
      <c r="I157" s="2"/>
      <c r="J157" s="8">
        <f t="shared" si="64"/>
        <v>2.5308009394828727E-3</v>
      </c>
      <c r="K157" s="2"/>
      <c r="L157" s="7">
        <f t="shared" si="65"/>
        <v>-139</v>
      </c>
      <c r="M157" s="2"/>
      <c r="N157" s="8">
        <f t="shared" si="66"/>
        <v>-3.4371909000989118E-2</v>
      </c>
      <c r="O157" s="11"/>
      <c r="P157" s="7">
        <v>7810</v>
      </c>
      <c r="Q157" s="2"/>
      <c r="R157" s="8">
        <f t="shared" si="67"/>
        <v>4.48861458313176E-3</v>
      </c>
      <c r="S157" s="2"/>
      <c r="T157" s="7">
        <v>8088</v>
      </c>
      <c r="U157" s="2"/>
      <c r="V157" s="8">
        <f t="shared" si="68"/>
        <v>4.4303719393650786E-3</v>
      </c>
      <c r="W157" s="2"/>
      <c r="X157" s="7">
        <f t="shared" si="69"/>
        <v>-278</v>
      </c>
      <c r="Y157" s="2"/>
      <c r="Z157" s="8">
        <f t="shared" si="70"/>
        <v>-3.4371909000989118E-2</v>
      </c>
    </row>
    <row r="158" spans="1:26" s="28" customFormat="1" outlineLevel="1" collapsed="1" x14ac:dyDescent="0.3">
      <c r="A158" s="29"/>
      <c r="B158" s="14" t="str">
        <f>CONCATENATE("     ","Inventory Adjustment                              ")</f>
        <v xml:space="preserve">     Inventory Adjustment                              </v>
      </c>
      <c r="C158" s="14"/>
      <c r="D158" s="1">
        <f>SUM(OSRRefD22_13x_0)</f>
        <v>5100</v>
      </c>
      <c r="E158" s="1"/>
      <c r="F158" s="5">
        <f t="shared" si="63"/>
        <v>3.3564564885861826E-3</v>
      </c>
      <c r="G158" s="1"/>
      <c r="H158" s="1">
        <f>SUM(OSRRefH22_13x_0)</f>
        <v>2100</v>
      </c>
      <c r="I158" s="1"/>
      <c r="J158" s="5">
        <f t="shared" si="64"/>
        <v>1.3142141377136579E-3</v>
      </c>
      <c r="K158" s="1"/>
      <c r="L158" s="1">
        <f t="shared" si="65"/>
        <v>3000</v>
      </c>
      <c r="M158" s="1"/>
      <c r="N158" s="5">
        <f t="shared" si="66"/>
        <v>1.4285714285714286</v>
      </c>
      <c r="O158" s="14"/>
      <c r="P158" s="1">
        <f>SUM(OSRRefP22_13x_0)</f>
        <v>10200</v>
      </c>
      <c r="Q158" s="1"/>
      <c r="R158" s="5">
        <f t="shared" si="67"/>
        <v>5.8622111072911586E-3</v>
      </c>
      <c r="S158" s="1"/>
      <c r="T158" s="1">
        <f>SUM(OSRRefT22_13x_0)</f>
        <v>4200</v>
      </c>
      <c r="U158" s="1"/>
      <c r="V158" s="5">
        <f t="shared" si="68"/>
        <v>2.3006382474447737E-3</v>
      </c>
      <c r="W158" s="1"/>
      <c r="X158" s="1">
        <f t="shared" si="69"/>
        <v>6000</v>
      </c>
      <c r="Y158" s="1"/>
      <c r="Z158" s="5">
        <f t="shared" si="70"/>
        <v>1.4285714285714286</v>
      </c>
    </row>
    <row r="159" spans="1:26" s="24" customFormat="1" hidden="1" outlineLevel="2" x14ac:dyDescent="0.3">
      <c r="A159" s="27"/>
      <c r="B159" s="11" t="str">
        <f>CONCATENATE("          ", "6408", " - ", "INVENTORY ADJUSTMENT")</f>
        <v xml:space="preserve">          6408 - INVENTORY ADJUSTMENT</v>
      </c>
      <c r="C159" s="11"/>
      <c r="D159" s="7">
        <v>5100</v>
      </c>
      <c r="E159" s="2"/>
      <c r="F159" s="8">
        <f t="shared" si="63"/>
        <v>3.3564564885861826E-3</v>
      </c>
      <c r="G159" s="2"/>
      <c r="H159" s="7">
        <v>2100</v>
      </c>
      <c r="I159" s="2"/>
      <c r="J159" s="8">
        <f t="shared" si="64"/>
        <v>1.3142141377136579E-3</v>
      </c>
      <c r="K159" s="2"/>
      <c r="L159" s="7">
        <f t="shared" si="65"/>
        <v>3000</v>
      </c>
      <c r="M159" s="2"/>
      <c r="N159" s="8">
        <f t="shared" si="66"/>
        <v>1.4285714285714286</v>
      </c>
      <c r="O159" s="11"/>
      <c r="P159" s="7">
        <v>10200</v>
      </c>
      <c r="Q159" s="2"/>
      <c r="R159" s="8">
        <f t="shared" si="67"/>
        <v>5.8622111072911586E-3</v>
      </c>
      <c r="S159" s="2"/>
      <c r="T159" s="7">
        <v>4200</v>
      </c>
      <c r="U159" s="2"/>
      <c r="V159" s="8">
        <f t="shared" si="68"/>
        <v>2.3006382474447737E-3</v>
      </c>
      <c r="W159" s="2"/>
      <c r="X159" s="7">
        <f t="shared" si="69"/>
        <v>6000</v>
      </c>
      <c r="Y159" s="2"/>
      <c r="Z159" s="8">
        <f t="shared" si="70"/>
        <v>1.4285714285714286</v>
      </c>
    </row>
    <row r="160" spans="1:26" s="24" customFormat="1" hidden="1" outlineLevel="2" x14ac:dyDescent="0.3">
      <c r="A160" s="27"/>
      <c r="B160" s="11" t="str">
        <f>CONCATENATE("          ", "7741", " - ", "INV. SHRINKAGE-LOGO GIFTS")</f>
        <v xml:space="preserve">          7741 - INV. SHRINKAGE-LOGO GIFTS</v>
      </c>
      <c r="C160" s="11"/>
      <c r="D160" s="7"/>
      <c r="E160" s="2"/>
      <c r="F160" s="8">
        <f t="shared" si="63"/>
        <v>0</v>
      </c>
      <c r="G160" s="2"/>
      <c r="H160" s="7"/>
      <c r="I160" s="2"/>
      <c r="J160" s="8">
        <f t="shared" si="64"/>
        <v>0</v>
      </c>
      <c r="K160" s="2"/>
      <c r="L160" s="7">
        <f t="shared" si="65"/>
        <v>0</v>
      </c>
      <c r="M160" s="2"/>
      <c r="N160" s="8">
        <f t="shared" si="66"/>
        <v>0</v>
      </c>
      <c r="O160" s="11"/>
      <c r="P160" s="7"/>
      <c r="Q160" s="2"/>
      <c r="R160" s="8">
        <f t="shared" si="67"/>
        <v>0</v>
      </c>
      <c r="S160" s="2"/>
      <c r="T160" s="7">
        <v>0</v>
      </c>
      <c r="U160" s="2"/>
      <c r="V160" s="8">
        <f t="shared" si="68"/>
        <v>0</v>
      </c>
      <c r="W160" s="2"/>
      <c r="X160" s="7">
        <f t="shared" si="69"/>
        <v>0</v>
      </c>
      <c r="Y160" s="2"/>
      <c r="Z160" s="8">
        <f t="shared" si="70"/>
        <v>0</v>
      </c>
    </row>
    <row r="161" spans="1:26" s="28" customFormat="1" outlineLevel="1" collapsed="1" x14ac:dyDescent="0.3">
      <c r="A161" s="29"/>
      <c r="B161" s="14" t="str">
        <f>CONCATENATE("     ","Rent                                              ")</f>
        <v xml:space="preserve">     Rent                                              </v>
      </c>
      <c r="C161" s="14"/>
      <c r="D161" s="1">
        <f>SUM(OSRRefD22_14x_0)</f>
        <v>6100</v>
      </c>
      <c r="E161" s="1"/>
      <c r="F161" s="5">
        <f t="shared" ref="F161:F167" si="71">IF(D$12=0,0,D161/D$12)</f>
        <v>4.0145852118383752E-3</v>
      </c>
      <c r="G161" s="1"/>
      <c r="H161" s="1">
        <f>SUM(OSRRefH22_14x_0)</f>
        <v>6100</v>
      </c>
      <c r="I161" s="1"/>
      <c r="J161" s="5">
        <f t="shared" ref="J161:J167" si="72">IF(H$12=0,0,H161/H$12)</f>
        <v>3.8174791619301493E-3</v>
      </c>
      <c r="K161" s="1"/>
      <c r="L161" s="1">
        <f t="shared" ref="L161:L167" si="73">+D161-H161</f>
        <v>0</v>
      </c>
      <c r="M161" s="1"/>
      <c r="N161" s="5">
        <f t="shared" ref="N161:N167" si="74">IF(H161=0,0,L161/H161)</f>
        <v>0</v>
      </c>
      <c r="O161" s="14"/>
      <c r="P161" s="1">
        <f>SUM(OSRRefP22_14x_0)</f>
        <v>12200</v>
      </c>
      <c r="Q161" s="1"/>
      <c r="R161" s="5">
        <f t="shared" ref="R161:R167" si="75">IF(P$12=0,0,P161/P$12)</f>
        <v>7.0116642655835429E-3</v>
      </c>
      <c r="S161" s="1"/>
      <c r="T161" s="1">
        <f>SUM(OSRRefT22_14x_0)</f>
        <v>12200</v>
      </c>
      <c r="U161" s="1"/>
      <c r="V161" s="5">
        <f t="shared" ref="V161:V167" si="76">IF(T$12=0,0,T161/T$12)</f>
        <v>6.6828063378157714E-3</v>
      </c>
      <c r="W161" s="1"/>
      <c r="X161" s="1">
        <f t="shared" ref="X161:X167" si="77">+P161-T161</f>
        <v>0</v>
      </c>
      <c r="Y161" s="1"/>
      <c r="Z161" s="5">
        <f t="shared" ref="Z161:Z167" si="78">IF(T161=0,0,X161/T161)</f>
        <v>0</v>
      </c>
    </row>
    <row r="162" spans="1:26" s="24" customFormat="1" hidden="1" outlineLevel="2" x14ac:dyDescent="0.3">
      <c r="A162" s="27"/>
      <c r="B162" s="11" t="str">
        <f>CONCATENATE("          ", "6273", " - ", "RENT")</f>
        <v xml:space="preserve">          6273 - RENT</v>
      </c>
      <c r="C162" s="11"/>
      <c r="D162" s="7">
        <v>6100</v>
      </c>
      <c r="E162" s="2"/>
      <c r="F162" s="8">
        <f t="shared" si="71"/>
        <v>4.0145852118383752E-3</v>
      </c>
      <c r="G162" s="2"/>
      <c r="H162" s="7">
        <v>6100</v>
      </c>
      <c r="I162" s="2"/>
      <c r="J162" s="8">
        <f t="shared" si="72"/>
        <v>3.8174791619301493E-3</v>
      </c>
      <c r="K162" s="2"/>
      <c r="L162" s="7">
        <f t="shared" si="73"/>
        <v>0</v>
      </c>
      <c r="M162" s="2"/>
      <c r="N162" s="8">
        <f t="shared" si="74"/>
        <v>0</v>
      </c>
      <c r="O162" s="11"/>
      <c r="P162" s="7">
        <v>12200</v>
      </c>
      <c r="Q162" s="2"/>
      <c r="R162" s="8">
        <f t="shared" si="75"/>
        <v>7.0116642655835429E-3</v>
      </c>
      <c r="S162" s="2"/>
      <c r="T162" s="7">
        <v>12200</v>
      </c>
      <c r="U162" s="2"/>
      <c r="V162" s="8">
        <f t="shared" si="76"/>
        <v>6.6828063378157714E-3</v>
      </c>
      <c r="W162" s="2"/>
      <c r="X162" s="7">
        <f t="shared" si="77"/>
        <v>0</v>
      </c>
      <c r="Y162" s="2"/>
      <c r="Z162" s="8">
        <f t="shared" si="78"/>
        <v>0</v>
      </c>
    </row>
    <row r="163" spans="1:26" s="28" customFormat="1" outlineLevel="1" collapsed="1" x14ac:dyDescent="0.3">
      <c r="A163" s="29"/>
      <c r="B163" s="14" t="str">
        <f>CONCATENATE("     ","Repair and Maintenance                            ")</f>
        <v xml:space="preserve">     Repair and Maintenance                            </v>
      </c>
      <c r="C163" s="14"/>
      <c r="D163" s="1">
        <f>SUM(OSRRefD22_15x_0)</f>
        <v>9987.32</v>
      </c>
      <c r="E163" s="1"/>
      <c r="F163" s="5">
        <f t="shared" si="71"/>
        <v>6.5729421603110882E-3</v>
      </c>
      <c r="G163" s="1"/>
      <c r="H163" s="1">
        <f>SUM(OSRRefH22_15x_0)</f>
        <v>7148.7199999999993</v>
      </c>
      <c r="I163" s="1"/>
      <c r="J163" s="5">
        <f t="shared" si="72"/>
        <v>4.4737851859792286E-3</v>
      </c>
      <c r="K163" s="1"/>
      <c r="L163" s="1">
        <f t="shared" si="73"/>
        <v>2838.6000000000004</v>
      </c>
      <c r="M163" s="1"/>
      <c r="N163" s="5">
        <f t="shared" si="74"/>
        <v>0.39707807831332054</v>
      </c>
      <c r="O163" s="14"/>
      <c r="P163" s="1">
        <f>SUM(OSRRefP22_15x_0)</f>
        <v>74750.05</v>
      </c>
      <c r="Q163" s="1"/>
      <c r="R163" s="5">
        <f t="shared" si="75"/>
        <v>4.2960840527506816E-2</v>
      </c>
      <c r="S163" s="1"/>
      <c r="T163" s="1">
        <f>SUM(OSRRefT22_15x_0)</f>
        <v>73610.490000000005</v>
      </c>
      <c r="U163" s="1"/>
      <c r="V163" s="5">
        <f t="shared" si="76"/>
        <v>4.0321692549321678E-2</v>
      </c>
      <c r="W163" s="1"/>
      <c r="X163" s="1">
        <f t="shared" si="77"/>
        <v>1139.5599999999977</v>
      </c>
      <c r="Y163" s="1"/>
      <c r="Z163" s="5">
        <f t="shared" si="78"/>
        <v>1.5480945718470257E-2</v>
      </c>
    </row>
    <row r="164" spans="1:26" s="24" customFormat="1" hidden="1" outlineLevel="2" x14ac:dyDescent="0.3">
      <c r="A164" s="27"/>
      <c r="B164" s="11" t="str">
        <f>CONCATENATE("          ", "6371", " - ", "COMPUTER SOFTWARE MAINTENANCE")</f>
        <v xml:space="preserve">          6371 - COMPUTER SOFTWARE MAINTENANCE</v>
      </c>
      <c r="C164" s="11"/>
      <c r="D164" s="7">
        <v>0</v>
      </c>
      <c r="E164" s="2"/>
      <c r="F164" s="8">
        <f t="shared" si="71"/>
        <v>0</v>
      </c>
      <c r="G164" s="2"/>
      <c r="H164" s="7"/>
      <c r="I164" s="2"/>
      <c r="J164" s="8">
        <f t="shared" si="72"/>
        <v>0</v>
      </c>
      <c r="K164" s="2"/>
      <c r="L164" s="7">
        <f t="shared" si="73"/>
        <v>0</v>
      </c>
      <c r="M164" s="2"/>
      <c r="N164" s="8">
        <f t="shared" si="74"/>
        <v>0</v>
      </c>
      <c r="O164" s="11"/>
      <c r="P164" s="7">
        <v>59623.5</v>
      </c>
      <c r="Q164" s="2"/>
      <c r="R164" s="8">
        <f t="shared" si="75"/>
        <v>3.4267210191722984E-2</v>
      </c>
      <c r="S164" s="2"/>
      <c r="T164" s="7">
        <v>58428.78</v>
      </c>
      <c r="U164" s="2"/>
      <c r="V164" s="8">
        <f t="shared" si="76"/>
        <v>3.2005591909413392E-2</v>
      </c>
      <c r="W164" s="2"/>
      <c r="X164" s="7">
        <f t="shared" si="77"/>
        <v>1194.7200000000012</v>
      </c>
      <c r="Y164" s="2"/>
      <c r="Z164" s="8">
        <f t="shared" si="78"/>
        <v>2.044745757142287E-2</v>
      </c>
    </row>
    <row r="165" spans="1:26" s="24" customFormat="1" hidden="1" outlineLevel="2" x14ac:dyDescent="0.3">
      <c r="A165" s="27"/>
      <c r="B165" s="11" t="str">
        <f>CONCATENATE("          ", "6372", " - ", "COMPUTER HARDWARE MAINTENANCE")</f>
        <v xml:space="preserve">          6372 - COMPUTER HARDWARE MAINTENANCE</v>
      </c>
      <c r="C165" s="11"/>
      <c r="D165" s="7"/>
      <c r="E165" s="2"/>
      <c r="F165" s="8">
        <f t="shared" si="71"/>
        <v>0</v>
      </c>
      <c r="G165" s="2"/>
      <c r="H165" s="7">
        <v>0.98</v>
      </c>
      <c r="I165" s="2"/>
      <c r="J165" s="8">
        <f t="shared" si="72"/>
        <v>6.1329993093304044E-7</v>
      </c>
      <c r="K165" s="2"/>
      <c r="L165" s="7">
        <f t="shared" si="73"/>
        <v>-0.98</v>
      </c>
      <c r="M165" s="2"/>
      <c r="N165" s="8">
        <f t="shared" si="74"/>
        <v>-1</v>
      </c>
      <c r="O165" s="11"/>
      <c r="P165" s="7"/>
      <c r="Q165" s="2"/>
      <c r="R165" s="8">
        <f t="shared" si="75"/>
        <v>0</v>
      </c>
      <c r="S165" s="2"/>
      <c r="T165" s="7">
        <v>0.98</v>
      </c>
      <c r="U165" s="2"/>
      <c r="V165" s="8">
        <f t="shared" si="76"/>
        <v>5.3681559107044721E-7</v>
      </c>
      <c r="W165" s="2"/>
      <c r="X165" s="7">
        <f t="shared" si="77"/>
        <v>-0.98</v>
      </c>
      <c r="Y165" s="2"/>
      <c r="Z165" s="8">
        <f t="shared" si="78"/>
        <v>-1</v>
      </c>
    </row>
    <row r="166" spans="1:26" s="24" customFormat="1" hidden="1" outlineLevel="2" x14ac:dyDescent="0.3">
      <c r="A166" s="27"/>
      <c r="B166" s="11" t="str">
        <f>CONCATENATE("          ", "6373", " - ", "MAINTENANCE CONTRACTS")</f>
        <v xml:space="preserve">          6373 - MAINTENANCE CONTRACTS</v>
      </c>
      <c r="C166" s="11"/>
      <c r="D166" s="7">
        <v>6010.42</v>
      </c>
      <c r="E166" s="2"/>
      <c r="F166" s="8">
        <f t="shared" si="71"/>
        <v>3.9556300408094434E-3</v>
      </c>
      <c r="G166" s="2"/>
      <c r="H166" s="7">
        <v>6723.92</v>
      </c>
      <c r="I166" s="2"/>
      <c r="J166" s="8">
        <f t="shared" si="72"/>
        <v>4.2079384404074376E-3</v>
      </c>
      <c r="K166" s="2"/>
      <c r="L166" s="7">
        <f t="shared" si="73"/>
        <v>-713.5</v>
      </c>
      <c r="M166" s="2"/>
      <c r="N166" s="8">
        <f t="shared" si="74"/>
        <v>-0.10611369558233888</v>
      </c>
      <c r="O166" s="11"/>
      <c r="P166" s="7">
        <v>6665.05</v>
      </c>
      <c r="Q166" s="2"/>
      <c r="R166" s="8">
        <f t="shared" si="75"/>
        <v>3.8305813863383272E-3</v>
      </c>
      <c r="S166" s="2"/>
      <c r="T166" s="7">
        <v>13139.93</v>
      </c>
      <c r="U166" s="2"/>
      <c r="V166" s="8">
        <f t="shared" si="76"/>
        <v>7.1976727444635728E-3</v>
      </c>
      <c r="W166" s="2"/>
      <c r="X166" s="7">
        <f t="shared" si="77"/>
        <v>-6474.88</v>
      </c>
      <c r="Y166" s="2"/>
      <c r="Z166" s="8">
        <f t="shared" si="78"/>
        <v>-0.49276366008038092</v>
      </c>
    </row>
    <row r="167" spans="1:26" s="24" customFormat="1" hidden="1" outlineLevel="2" x14ac:dyDescent="0.3">
      <c r="A167" s="27"/>
      <c r="B167" s="11" t="str">
        <f>CONCATENATE("          ", "6375", " - ", "OUTSIDE REPAIRS &amp; MAINTENANCE")</f>
        <v xml:space="preserve">          6375 - OUTSIDE REPAIRS &amp; MAINTENANCE</v>
      </c>
      <c r="C167" s="11"/>
      <c r="D167" s="7">
        <v>3976.9</v>
      </c>
      <c r="E167" s="2"/>
      <c r="F167" s="8">
        <f t="shared" si="71"/>
        <v>2.6173121195016448E-3</v>
      </c>
      <c r="G167" s="2"/>
      <c r="H167" s="7">
        <v>423.82</v>
      </c>
      <c r="I167" s="2"/>
      <c r="J167" s="8">
        <f t="shared" si="72"/>
        <v>2.6523344564085834E-4</v>
      </c>
      <c r="K167" s="2"/>
      <c r="L167" s="7">
        <f t="shared" si="73"/>
        <v>3553.08</v>
      </c>
      <c r="M167" s="2"/>
      <c r="N167" s="8">
        <f t="shared" si="74"/>
        <v>8.3834646784012072</v>
      </c>
      <c r="O167" s="11"/>
      <c r="P167" s="7">
        <v>8461.5</v>
      </c>
      <c r="Q167" s="2"/>
      <c r="R167" s="8">
        <f t="shared" si="75"/>
        <v>4.863048949445504E-3</v>
      </c>
      <c r="S167" s="2"/>
      <c r="T167" s="7">
        <v>2040.8</v>
      </c>
      <c r="U167" s="2"/>
      <c r="V167" s="8">
        <f t="shared" si="76"/>
        <v>1.1178910798536415E-3</v>
      </c>
      <c r="W167" s="2"/>
      <c r="X167" s="7">
        <f t="shared" si="77"/>
        <v>6420.7</v>
      </c>
      <c r="Y167" s="2"/>
      <c r="Z167" s="8">
        <f t="shared" si="78"/>
        <v>3.1461681693453549</v>
      </c>
    </row>
    <row r="168" spans="1:26" s="28" customFormat="1" outlineLevel="1" collapsed="1" x14ac:dyDescent="0.3">
      <c r="A168" s="29"/>
      <c r="B168" s="14" t="str">
        <f>CONCATENATE("     ","Royalty &amp; Commissions                             ")</f>
        <v xml:space="preserve">     Royalty &amp; Commissions                             </v>
      </c>
      <c r="C168" s="14"/>
      <c r="D168" s="1">
        <f>SUM(OSRRefD22_16x_0)</f>
        <v>601.89</v>
      </c>
      <c r="E168" s="1"/>
      <c r="F168" s="5">
        <f t="shared" ref="F168:F171" si="79">IF(D$12=0,0,D168/D$12)</f>
        <v>3.9612109723826224E-4</v>
      </c>
      <c r="G168" s="1"/>
      <c r="H168" s="1">
        <f>SUM(OSRRefH22_16x_0)</f>
        <v>2254.65</v>
      </c>
      <c r="I168" s="1"/>
      <c r="J168" s="5">
        <f t="shared" ref="J168:J171" si="80">IF(H$12=0,0,H168/H$12)</f>
        <v>1.4109966217124281E-3</v>
      </c>
      <c r="K168" s="1"/>
      <c r="L168" s="1">
        <f t="shared" ref="L168:L171" si="81">+D168-H168</f>
        <v>-1652.7600000000002</v>
      </c>
      <c r="M168" s="1"/>
      <c r="N168" s="5">
        <f t="shared" ref="N168:N171" si="82">IF(H168=0,0,L168/H168)</f>
        <v>-0.73304504025014972</v>
      </c>
      <c r="O168" s="14"/>
      <c r="P168" s="1">
        <f>SUM(OSRRefP22_16x_0)</f>
        <v>7956.9900000000007</v>
      </c>
      <c r="Q168" s="1"/>
      <c r="R168" s="5">
        <f t="shared" ref="R168:R171" si="83">IF(P$12=0,0,P168/P$12)</f>
        <v>4.5730936430004587E-3</v>
      </c>
      <c r="S168" s="1"/>
      <c r="T168" s="1">
        <f>SUM(OSRRefT22_16x_0)</f>
        <v>13244.4</v>
      </c>
      <c r="U168" s="1"/>
      <c r="V168" s="5">
        <f t="shared" ref="V168:V171" si="84">IF(T$12=0,0,T168/T$12)</f>
        <v>7.2548983820137055E-3</v>
      </c>
      <c r="W168" s="1"/>
      <c r="X168" s="1">
        <f t="shared" ref="X168:X171" si="85">+P168-T168</f>
        <v>-5287.4099999999989</v>
      </c>
      <c r="Y168" s="1"/>
      <c r="Z168" s="5">
        <f t="shared" ref="Z168:Z171" si="86">IF(T168=0,0,X168/T168)</f>
        <v>-0.39921853764609944</v>
      </c>
    </row>
    <row r="169" spans="1:26" s="24" customFormat="1" hidden="1" outlineLevel="2" x14ac:dyDescent="0.3">
      <c r="A169" s="27"/>
      <c r="B169" s="11" t="str">
        <f>CONCATENATE("          ", "6253", " - ", "ROYALTY DUE ATHLETICS-LRG")</f>
        <v xml:space="preserve">          6253 - ROYALTY DUE ATHLETICS-LRG</v>
      </c>
      <c r="C169" s="11"/>
      <c r="D169" s="7"/>
      <c r="E169" s="2"/>
      <c r="F169" s="8">
        <f t="shared" si="79"/>
        <v>0</v>
      </c>
      <c r="G169" s="2"/>
      <c r="H169" s="7">
        <v>2250</v>
      </c>
      <c r="I169" s="2"/>
      <c r="J169" s="8">
        <f t="shared" si="80"/>
        <v>1.4080865761217764E-3</v>
      </c>
      <c r="K169" s="2"/>
      <c r="L169" s="7">
        <f t="shared" si="81"/>
        <v>-2250</v>
      </c>
      <c r="M169" s="2"/>
      <c r="N169" s="8">
        <f t="shared" si="82"/>
        <v>-1</v>
      </c>
      <c r="O169" s="11"/>
      <c r="P169" s="7">
        <v>14376.54</v>
      </c>
      <c r="Q169" s="2"/>
      <c r="R169" s="8">
        <f t="shared" si="83"/>
        <v>8.2625796541583967E-3</v>
      </c>
      <c r="S169" s="2"/>
      <c r="T169" s="7">
        <v>7922.2</v>
      </c>
      <c r="U169" s="2"/>
      <c r="V169" s="8">
        <f t="shared" si="84"/>
        <v>4.3395515056921397E-3</v>
      </c>
      <c r="W169" s="2"/>
      <c r="X169" s="7">
        <f t="shared" si="85"/>
        <v>6454.3400000000011</v>
      </c>
      <c r="Y169" s="2"/>
      <c r="Z169" s="8">
        <f t="shared" si="86"/>
        <v>0.81471560930044695</v>
      </c>
    </row>
    <row r="170" spans="1:26" s="24" customFormat="1" hidden="1" outlineLevel="2" x14ac:dyDescent="0.3">
      <c r="A170" s="27"/>
      <c r="B170" s="11" t="str">
        <f>CONCATENATE("          ", "6254", " - ", "ROYALTY &amp; COMMISSIONS")</f>
        <v xml:space="preserve">          6254 - ROYALTY &amp; COMMISSIONS</v>
      </c>
      <c r="C170" s="11"/>
      <c r="D170" s="7"/>
      <c r="E170" s="2"/>
      <c r="F170" s="8">
        <f t="shared" si="79"/>
        <v>0</v>
      </c>
      <c r="G170" s="2"/>
      <c r="H170" s="7"/>
      <c r="I170" s="2"/>
      <c r="J170" s="8">
        <f t="shared" si="80"/>
        <v>0</v>
      </c>
      <c r="K170" s="2"/>
      <c r="L170" s="7">
        <f t="shared" si="81"/>
        <v>0</v>
      </c>
      <c r="M170" s="2"/>
      <c r="N170" s="8">
        <f t="shared" si="82"/>
        <v>0</v>
      </c>
      <c r="O170" s="11"/>
      <c r="P170" s="7">
        <v>-7027.5</v>
      </c>
      <c r="Q170" s="2"/>
      <c r="R170" s="8">
        <f t="shared" si="83"/>
        <v>-4.0388910349498644E-3</v>
      </c>
      <c r="S170" s="2"/>
      <c r="T170" s="7"/>
      <c r="U170" s="2"/>
      <c r="V170" s="8">
        <f t="shared" si="84"/>
        <v>0</v>
      </c>
      <c r="W170" s="2"/>
      <c r="X170" s="7">
        <f t="shared" si="85"/>
        <v>-7027.5</v>
      </c>
      <c r="Y170" s="2"/>
      <c r="Z170" s="8">
        <f t="shared" si="86"/>
        <v>0</v>
      </c>
    </row>
    <row r="171" spans="1:26" s="24" customFormat="1" hidden="1" outlineLevel="2" x14ac:dyDescent="0.3">
      <c r="A171" s="27"/>
      <c r="B171" s="11" t="str">
        <f>CONCATENATE("          ", "6259", " - ", "ROYALTY &amp; COMMISSIONS")</f>
        <v xml:space="preserve">          6259 - ROYALTY &amp; COMMISSIONS</v>
      </c>
      <c r="C171" s="11"/>
      <c r="D171" s="7">
        <v>601.89</v>
      </c>
      <c r="E171" s="2"/>
      <c r="F171" s="8">
        <f t="shared" si="79"/>
        <v>3.9612109723826224E-4</v>
      </c>
      <c r="G171" s="2"/>
      <c r="H171" s="7">
        <v>4.6500000000000004</v>
      </c>
      <c r="I171" s="2"/>
      <c r="J171" s="8">
        <f t="shared" si="80"/>
        <v>2.9100455906516717E-6</v>
      </c>
      <c r="K171" s="2"/>
      <c r="L171" s="7">
        <f t="shared" si="81"/>
        <v>597.24</v>
      </c>
      <c r="M171" s="2"/>
      <c r="N171" s="8">
        <f t="shared" si="82"/>
        <v>128.43870967741935</v>
      </c>
      <c r="O171" s="11"/>
      <c r="P171" s="7">
        <v>607.95000000000005</v>
      </c>
      <c r="Q171" s="2"/>
      <c r="R171" s="8">
        <f t="shared" si="83"/>
        <v>3.4940502379192747E-4</v>
      </c>
      <c r="S171" s="2"/>
      <c r="T171" s="7">
        <v>5322.2</v>
      </c>
      <c r="U171" s="2"/>
      <c r="V171" s="8">
        <f t="shared" si="84"/>
        <v>2.9153468763215653E-3</v>
      </c>
      <c r="W171" s="2"/>
      <c r="X171" s="7">
        <f t="shared" si="85"/>
        <v>-4714.25</v>
      </c>
      <c r="Y171" s="2"/>
      <c r="Z171" s="8">
        <f t="shared" si="86"/>
        <v>-0.88577092179925598</v>
      </c>
    </row>
    <row r="172" spans="1:26" s="28" customFormat="1" outlineLevel="1" collapsed="1" x14ac:dyDescent="0.3">
      <c r="A172" s="29"/>
      <c r="B172" s="14" t="str">
        <f>CONCATENATE("     ","Services                                          ")</f>
        <v xml:space="preserve">     Services                                          </v>
      </c>
      <c r="C172" s="14"/>
      <c r="D172" s="1">
        <f>SUM(OSRRefD22_17x_0)</f>
        <v>20734.62</v>
      </c>
      <c r="E172" s="1"/>
      <c r="F172" s="5">
        <f t="shared" ref="F172:F177" si="87">IF(D$12=0,0,D172/D$12)</f>
        <v>1.3646048987719378E-2</v>
      </c>
      <c r="G172" s="1"/>
      <c r="H172" s="1">
        <f>SUM(OSRRefH22_17x_0)</f>
        <v>-347.38000000000005</v>
      </c>
      <c r="I172" s="1"/>
      <c r="J172" s="5">
        <f t="shared" ref="J172:J177" si="88">IF(H$12=0,0,H172/H$12)</f>
        <v>-2.1739605102808122E-4</v>
      </c>
      <c r="K172" s="1"/>
      <c r="L172" s="1">
        <f t="shared" ref="L172:L177" si="89">+D172-H172</f>
        <v>21082</v>
      </c>
      <c r="M172" s="1"/>
      <c r="N172" s="5">
        <f t="shared" ref="N172:N177" si="90">IF(H172=0,0,L172/H172)</f>
        <v>-60.68858310783579</v>
      </c>
      <c r="O172" s="14"/>
      <c r="P172" s="1">
        <f>SUM(OSRRefP22_17x_0)</f>
        <v>24892.789999999997</v>
      </c>
      <c r="Q172" s="1"/>
      <c r="R172" s="5">
        <f t="shared" ref="R172:R177" si="91">IF(P$12=0,0,P172/P$12)</f>
        <v>1.4306548042104536E-2</v>
      </c>
      <c r="S172" s="1"/>
      <c r="T172" s="1">
        <f>SUM(OSRRefT22_17x_0)</f>
        <v>2731.76</v>
      </c>
      <c r="U172" s="1"/>
      <c r="V172" s="5">
        <f t="shared" ref="V172:V177" si="92">IF(T$12=0,0,T172/T$12)</f>
        <v>1.4963789378189846E-3</v>
      </c>
      <c r="W172" s="1"/>
      <c r="X172" s="1">
        <f t="shared" ref="X172:X177" si="93">+P172-T172</f>
        <v>22161.03</v>
      </c>
      <c r="Y172" s="1"/>
      <c r="Z172" s="5">
        <f t="shared" ref="Z172:Z177" si="94">IF(T172=0,0,X172/T172)</f>
        <v>8.1123634579904511</v>
      </c>
    </row>
    <row r="173" spans="1:26" s="24" customFormat="1" hidden="1" outlineLevel="2" x14ac:dyDescent="0.3">
      <c r="A173" s="27"/>
      <c r="B173" s="11" t="str">
        <f>CONCATENATE("          ", "6282", " - ", "JANITORIAL/EXTERMINATOR EXPENS")</f>
        <v xml:space="preserve">          6282 - JANITORIAL/EXTERMINATOR EXPENS</v>
      </c>
      <c r="C173" s="11"/>
      <c r="D173" s="7">
        <v>611.25</v>
      </c>
      <c r="E173" s="2"/>
      <c r="F173" s="8">
        <f t="shared" si="87"/>
        <v>4.0228118208790275E-4</v>
      </c>
      <c r="G173" s="2"/>
      <c r="H173" s="7">
        <v>-429.22</v>
      </c>
      <c r="I173" s="2"/>
      <c r="J173" s="8">
        <f t="shared" si="88"/>
        <v>-2.6861285342355063E-4</v>
      </c>
      <c r="K173" s="2"/>
      <c r="L173" s="7">
        <f t="shared" si="89"/>
        <v>1040.47</v>
      </c>
      <c r="M173" s="2"/>
      <c r="N173" s="8">
        <f t="shared" si="90"/>
        <v>-2.4240948697637572</v>
      </c>
      <c r="O173" s="11"/>
      <c r="P173" s="7">
        <v>763.1</v>
      </c>
      <c r="Q173" s="2"/>
      <c r="R173" s="8">
        <f t="shared" si="91"/>
        <v>4.3857385254645915E-4</v>
      </c>
      <c r="S173" s="2"/>
      <c r="T173" s="7">
        <v>-292.72000000000003</v>
      </c>
      <c r="U173" s="2"/>
      <c r="V173" s="8">
        <f t="shared" si="92"/>
        <v>-1.6034353042667482E-4</v>
      </c>
      <c r="W173" s="2"/>
      <c r="X173" s="7">
        <f t="shared" si="93"/>
        <v>1055.8200000000002</v>
      </c>
      <c r="Y173" s="2"/>
      <c r="Z173" s="8">
        <f t="shared" si="94"/>
        <v>-3.6069281224378247</v>
      </c>
    </row>
    <row r="174" spans="1:26" s="24" customFormat="1" hidden="1" outlineLevel="2" x14ac:dyDescent="0.3">
      <c r="A174" s="27"/>
      <c r="B174" s="11" t="str">
        <f>CONCATENATE("          ", "6283", " - ", "PLANT SERVICE")</f>
        <v xml:space="preserve">          6283 - PLANT SERVICE</v>
      </c>
      <c r="C174" s="11"/>
      <c r="D174" s="7"/>
      <c r="E174" s="2"/>
      <c r="F174" s="8">
        <f t="shared" si="87"/>
        <v>0</v>
      </c>
      <c r="G174" s="2"/>
      <c r="H174" s="7"/>
      <c r="I174" s="2"/>
      <c r="J174" s="8">
        <f t="shared" si="88"/>
        <v>0</v>
      </c>
      <c r="K174" s="2"/>
      <c r="L174" s="7">
        <f t="shared" si="89"/>
        <v>0</v>
      </c>
      <c r="M174" s="2"/>
      <c r="N174" s="8">
        <f t="shared" si="90"/>
        <v>0</v>
      </c>
      <c r="O174" s="11"/>
      <c r="P174" s="7"/>
      <c r="Q174" s="2"/>
      <c r="R174" s="8">
        <f t="shared" si="91"/>
        <v>0</v>
      </c>
      <c r="S174" s="2"/>
      <c r="T174" s="7">
        <v>130</v>
      </c>
      <c r="U174" s="2"/>
      <c r="V174" s="8">
        <f t="shared" si="92"/>
        <v>7.1210231468528715E-5</v>
      </c>
      <c r="W174" s="2"/>
      <c r="X174" s="7">
        <f t="shared" si="93"/>
        <v>-130</v>
      </c>
      <c r="Y174" s="2"/>
      <c r="Z174" s="8">
        <f t="shared" si="94"/>
        <v>-1</v>
      </c>
    </row>
    <row r="175" spans="1:26" s="24" customFormat="1" hidden="1" outlineLevel="2" x14ac:dyDescent="0.3">
      <c r="A175" s="27"/>
      <c r="B175" s="11" t="str">
        <f>CONCATENATE("          ", "6284", " - ", "TRASH REMOVAL EXPENSE")</f>
        <v xml:space="preserve">          6284 - TRASH REMOVAL EXPENSE</v>
      </c>
      <c r="C175" s="11"/>
      <c r="D175" s="7">
        <v>149.69999999999999</v>
      </c>
      <c r="E175" s="2"/>
      <c r="F175" s="8">
        <f t="shared" si="87"/>
        <v>9.8521869870853233E-5</v>
      </c>
      <c r="G175" s="2"/>
      <c r="H175" s="7">
        <v>142.57</v>
      </c>
      <c r="I175" s="2"/>
      <c r="J175" s="8">
        <f t="shared" si="88"/>
        <v>8.9222623625636287E-5</v>
      </c>
      <c r="K175" s="2"/>
      <c r="L175" s="7">
        <f t="shared" si="89"/>
        <v>7.1299999999999955</v>
      </c>
      <c r="M175" s="2"/>
      <c r="N175" s="8">
        <f t="shared" si="90"/>
        <v>5.0010521147506461E-2</v>
      </c>
      <c r="O175" s="11"/>
      <c r="P175" s="7">
        <v>292.27</v>
      </c>
      <c r="Q175" s="2"/>
      <c r="R175" s="8">
        <f t="shared" si="91"/>
        <v>1.6797533728705753E-4</v>
      </c>
      <c r="S175" s="2"/>
      <c r="T175" s="7">
        <v>285.14</v>
      </c>
      <c r="U175" s="2"/>
      <c r="V175" s="8">
        <f t="shared" si="92"/>
        <v>1.5619142616104829E-4</v>
      </c>
      <c r="W175" s="2"/>
      <c r="X175" s="7">
        <f t="shared" si="93"/>
        <v>7.1299999999999955</v>
      </c>
      <c r="Y175" s="2"/>
      <c r="Z175" s="8">
        <f t="shared" si="94"/>
        <v>2.500526057375323E-2</v>
      </c>
    </row>
    <row r="176" spans="1:26" s="24" customFormat="1" hidden="1" outlineLevel="2" x14ac:dyDescent="0.3">
      <c r="A176" s="27"/>
      <c r="B176" s="11" t="str">
        <f>CONCATENATE("          ", "6285", " - ", "JANITORIAL SERVICES")</f>
        <v xml:space="preserve">          6285 - JANITORIAL SERVICES</v>
      </c>
      <c r="C176" s="11"/>
      <c r="D176" s="7">
        <v>19921.73</v>
      </c>
      <c r="E176" s="2"/>
      <c r="F176" s="8">
        <f t="shared" si="87"/>
        <v>1.3111062729874903E-2</v>
      </c>
      <c r="G176" s="2"/>
      <c r="H176" s="7">
        <v>-60.73</v>
      </c>
      <c r="I176" s="2"/>
      <c r="J176" s="8">
        <f t="shared" si="88"/>
        <v>-3.8005821230166877E-5</v>
      </c>
      <c r="K176" s="2"/>
      <c r="L176" s="7">
        <f t="shared" si="89"/>
        <v>19982.46</v>
      </c>
      <c r="M176" s="2"/>
      <c r="N176" s="8">
        <f t="shared" si="90"/>
        <v>-329.03770788737035</v>
      </c>
      <c r="O176" s="11"/>
      <c r="P176" s="7">
        <v>23785.48</v>
      </c>
      <c r="Q176" s="2"/>
      <c r="R176" s="8">
        <f t="shared" si="91"/>
        <v>1.3670147553750168E-2</v>
      </c>
      <c r="S176" s="2"/>
      <c r="T176" s="7">
        <v>2609.34</v>
      </c>
      <c r="U176" s="2"/>
      <c r="V176" s="8">
        <f t="shared" si="92"/>
        <v>1.4293208106160825E-3</v>
      </c>
      <c r="W176" s="2"/>
      <c r="X176" s="7">
        <f t="shared" si="93"/>
        <v>21176.14</v>
      </c>
      <c r="Y176" s="2"/>
      <c r="Z176" s="8">
        <f t="shared" si="94"/>
        <v>8.1155158009305026</v>
      </c>
    </row>
    <row r="177" spans="1:26" s="24" customFormat="1" hidden="1" outlineLevel="2" x14ac:dyDescent="0.3">
      <c r="A177" s="27"/>
      <c r="B177" s="11" t="str">
        <f>CONCATENATE("          ", "6286", " - ", "LAUNDRY EXPENSE")</f>
        <v xml:space="preserve">          6286 - LAUNDRY EXPENSE</v>
      </c>
      <c r="C177" s="11"/>
      <c r="D177" s="7">
        <v>51.94</v>
      </c>
      <c r="E177" s="2"/>
      <c r="F177" s="8">
        <f t="shared" si="87"/>
        <v>3.4183205885718882E-5</v>
      </c>
      <c r="G177" s="2"/>
      <c r="H177" s="7"/>
      <c r="I177" s="2"/>
      <c r="J177" s="8">
        <f t="shared" si="88"/>
        <v>0</v>
      </c>
      <c r="K177" s="2"/>
      <c r="L177" s="7">
        <f t="shared" si="89"/>
        <v>51.94</v>
      </c>
      <c r="M177" s="2"/>
      <c r="N177" s="8">
        <f t="shared" si="90"/>
        <v>0</v>
      </c>
      <c r="O177" s="11"/>
      <c r="P177" s="7">
        <v>51.94</v>
      </c>
      <c r="Q177" s="2"/>
      <c r="R177" s="8">
        <f t="shared" si="91"/>
        <v>2.9851298520853212E-5</v>
      </c>
      <c r="S177" s="2"/>
      <c r="T177" s="7"/>
      <c r="U177" s="2"/>
      <c r="V177" s="8">
        <f t="shared" si="92"/>
        <v>0</v>
      </c>
      <c r="W177" s="2"/>
      <c r="X177" s="7">
        <f t="shared" si="93"/>
        <v>51.94</v>
      </c>
      <c r="Y177" s="2"/>
      <c r="Z177" s="8">
        <f t="shared" si="94"/>
        <v>0</v>
      </c>
    </row>
    <row r="178" spans="1:26" s="28" customFormat="1" outlineLevel="1" collapsed="1" x14ac:dyDescent="0.3">
      <c r="A178" s="29"/>
      <c r="B178" s="14" t="str">
        <f>CONCATENATE("     ","Subscriptions &amp; Dues                              ")</f>
        <v xml:space="preserve">     Subscriptions &amp; Dues                              </v>
      </c>
      <c r="C178" s="14"/>
      <c r="D178" s="1">
        <f>SUM(OSRRefD22_18x_0)</f>
        <v>57</v>
      </c>
      <c r="E178" s="1"/>
      <c r="F178" s="5">
        <f t="shared" ref="F178:F180" si="95">IF(D$12=0,0,D178/D$12)</f>
        <v>3.7513337225374983E-5</v>
      </c>
      <c r="G178" s="1"/>
      <c r="H178" s="1">
        <f>SUM(OSRRefH22_18x_0)</f>
        <v>270</v>
      </c>
      <c r="I178" s="1"/>
      <c r="J178" s="5">
        <f t="shared" ref="J178:J180" si="96">IF(H$12=0,0,H178/H$12)</f>
        <v>1.6897038913461318E-4</v>
      </c>
      <c r="K178" s="1"/>
      <c r="L178" s="1">
        <f t="shared" ref="L178:L180" si="97">+D178-H178</f>
        <v>-213</v>
      </c>
      <c r="M178" s="1"/>
      <c r="N178" s="5">
        <f t="shared" ref="N178:N180" si="98">IF(H178=0,0,L178/H178)</f>
        <v>-0.78888888888888886</v>
      </c>
      <c r="O178" s="14"/>
      <c r="P178" s="1">
        <f>SUM(OSRRefP22_18x_0)</f>
        <v>125.32</v>
      </c>
      <c r="Q178" s="1"/>
      <c r="R178" s="5">
        <f t="shared" ref="R178:R180" si="99">IF(P$12=0,0,P178/P$12)</f>
        <v>7.2024734898600782E-5</v>
      </c>
      <c r="S178" s="1"/>
      <c r="T178" s="1">
        <f>SUM(OSRRefT22_18x_0)</f>
        <v>635</v>
      </c>
      <c r="U178" s="1"/>
      <c r="V178" s="5">
        <f t="shared" ref="V178:V180" si="100">IF(T$12=0,0,T178/T$12)</f>
        <v>3.4783459217319795E-4</v>
      </c>
      <c r="W178" s="1"/>
      <c r="X178" s="1">
        <f t="shared" ref="X178:X180" si="101">+P178-T178</f>
        <v>-509.68</v>
      </c>
      <c r="Y178" s="1"/>
      <c r="Z178" s="5">
        <f t="shared" ref="Z178:Z180" si="102">IF(T178=0,0,X178/T178)</f>
        <v>-0.80264566929133863</v>
      </c>
    </row>
    <row r="179" spans="1:26" s="24" customFormat="1" hidden="1" outlineLevel="2" x14ac:dyDescent="0.3">
      <c r="A179" s="27"/>
      <c r="B179" s="11" t="str">
        <f>CONCATENATE("          ", "6258", " - ", "MEMBERSHIP DUES")</f>
        <v xml:space="preserve">          6258 - MEMBERSHIP DUES</v>
      </c>
      <c r="C179" s="11"/>
      <c r="D179" s="7">
        <v>57</v>
      </c>
      <c r="E179" s="2"/>
      <c r="F179" s="8">
        <f t="shared" si="95"/>
        <v>3.7513337225374983E-5</v>
      </c>
      <c r="G179" s="2"/>
      <c r="H179" s="7">
        <v>270</v>
      </c>
      <c r="I179" s="2"/>
      <c r="J179" s="8">
        <f t="shared" si="96"/>
        <v>1.6897038913461318E-4</v>
      </c>
      <c r="K179" s="2"/>
      <c r="L179" s="7">
        <f t="shared" si="97"/>
        <v>-213</v>
      </c>
      <c r="M179" s="2"/>
      <c r="N179" s="8">
        <f t="shared" si="98"/>
        <v>-0.78888888888888886</v>
      </c>
      <c r="O179" s="11"/>
      <c r="P179" s="7">
        <v>125.32</v>
      </c>
      <c r="Q179" s="2"/>
      <c r="R179" s="8">
        <f t="shared" si="99"/>
        <v>7.2024734898600782E-5</v>
      </c>
      <c r="S179" s="2"/>
      <c r="T179" s="7">
        <v>560</v>
      </c>
      <c r="U179" s="2"/>
      <c r="V179" s="8">
        <f t="shared" si="100"/>
        <v>3.0675176632596982E-4</v>
      </c>
      <c r="W179" s="2"/>
      <c r="X179" s="7">
        <f t="shared" si="101"/>
        <v>-434.68</v>
      </c>
      <c r="Y179" s="2"/>
      <c r="Z179" s="8">
        <f t="shared" si="102"/>
        <v>-0.77621428571428575</v>
      </c>
    </row>
    <row r="180" spans="1:26" s="24" customFormat="1" hidden="1" outlineLevel="2" x14ac:dyDescent="0.3">
      <c r="A180" s="27"/>
      <c r="B180" s="11" t="str">
        <f>CONCATENATE("          ", "6275", " - ", "SUBSCRIPTIONS")</f>
        <v xml:space="preserve">          6275 - SUBSCRIPTIONS</v>
      </c>
      <c r="C180" s="11"/>
      <c r="D180" s="7"/>
      <c r="E180" s="2"/>
      <c r="F180" s="8">
        <f t="shared" si="95"/>
        <v>0</v>
      </c>
      <c r="G180" s="2"/>
      <c r="H180" s="7"/>
      <c r="I180" s="2"/>
      <c r="J180" s="8">
        <f t="shared" si="96"/>
        <v>0</v>
      </c>
      <c r="K180" s="2"/>
      <c r="L180" s="7">
        <f t="shared" si="97"/>
        <v>0</v>
      </c>
      <c r="M180" s="2"/>
      <c r="N180" s="8">
        <f t="shared" si="98"/>
        <v>0</v>
      </c>
      <c r="O180" s="11"/>
      <c r="P180" s="7"/>
      <c r="Q180" s="2"/>
      <c r="R180" s="8">
        <f t="shared" si="99"/>
        <v>0</v>
      </c>
      <c r="S180" s="2"/>
      <c r="T180" s="7">
        <v>75</v>
      </c>
      <c r="U180" s="2"/>
      <c r="V180" s="8">
        <f t="shared" si="100"/>
        <v>4.1082825847228104E-5</v>
      </c>
      <c r="W180" s="2"/>
      <c r="X180" s="7">
        <f t="shared" si="101"/>
        <v>-75</v>
      </c>
      <c r="Y180" s="2"/>
      <c r="Z180" s="8">
        <f t="shared" si="102"/>
        <v>-1</v>
      </c>
    </row>
    <row r="181" spans="1:26" s="28" customFormat="1" outlineLevel="1" collapsed="1" x14ac:dyDescent="0.3">
      <c r="A181" s="29"/>
      <c r="B181" s="14" t="str">
        <f>CONCATENATE("     ","Supplies                                          ")</f>
        <v xml:space="preserve">     Supplies                                          </v>
      </c>
      <c r="C181" s="14"/>
      <c r="D181" s="1">
        <f>SUM(OSRRefD22_19x_0)</f>
        <v>15878.81</v>
      </c>
      <c r="E181" s="1"/>
      <c r="F181" s="5">
        <f t="shared" ref="F181:F187" si="103">IF(D$12=0,0,D181/D$12)</f>
        <v>1.0450300952064149E-2</v>
      </c>
      <c r="G181" s="1"/>
      <c r="H181" s="1">
        <f>SUM(OSRRefH22_19x_0)</f>
        <v>8139.619999999999</v>
      </c>
      <c r="I181" s="1"/>
      <c r="J181" s="5">
        <f t="shared" ref="J181:J187" si="104">IF(H$12=0,0,H181/H$12)</f>
        <v>5.0939065141032587E-3</v>
      </c>
      <c r="K181" s="1"/>
      <c r="L181" s="1">
        <f t="shared" ref="L181:L187" si="105">+D181-H181</f>
        <v>7739.1900000000005</v>
      </c>
      <c r="M181" s="1"/>
      <c r="N181" s="5">
        <f t="shared" ref="N181:N187" si="106">IF(H181=0,0,L181/H181)</f>
        <v>0.9508048287266484</v>
      </c>
      <c r="O181" s="14"/>
      <c r="P181" s="1">
        <f>SUM(OSRRefP22_19x_0)</f>
        <v>23077.409999999996</v>
      </c>
      <c r="Q181" s="1"/>
      <c r="R181" s="5">
        <f t="shared" ref="R181:R187" si="107">IF(P$12=0,0,P181/P$12)</f>
        <v>1.3263200904854121E-2</v>
      </c>
      <c r="S181" s="1"/>
      <c r="T181" s="1">
        <f>SUM(OSRRefT22_19x_0)</f>
        <v>19866.809999999998</v>
      </c>
      <c r="U181" s="1"/>
      <c r="V181" s="5">
        <f t="shared" ref="V181:V187" si="108">IF(T$12=0,0,T181/T$12)</f>
        <v>1.0882462604932929E-2</v>
      </c>
      <c r="W181" s="1"/>
      <c r="X181" s="1">
        <f t="shared" ref="X181:X187" si="109">+P181-T181</f>
        <v>3210.5999999999985</v>
      </c>
      <c r="Y181" s="1"/>
      <c r="Z181" s="5">
        <f t="shared" ref="Z181:Z187" si="110">IF(T181=0,0,X181/T181)</f>
        <v>0.16160621659944394</v>
      </c>
    </row>
    <row r="182" spans="1:26" s="24" customFormat="1" hidden="1" outlineLevel="2" x14ac:dyDescent="0.3">
      <c r="A182" s="27"/>
      <c r="B182" s="11" t="str">
        <f>CONCATENATE("          ", "6235", " - ", "COVID-19 EXPENSES")</f>
        <v xml:space="preserve">          6235 - COVID-19 EXPENSES</v>
      </c>
      <c r="C182" s="11"/>
      <c r="D182" s="7">
        <v>2695.61</v>
      </c>
      <c r="E182" s="2"/>
      <c r="F182" s="8">
        <f t="shared" si="103"/>
        <v>1.7740583676858432E-3</v>
      </c>
      <c r="G182" s="2"/>
      <c r="H182" s="7">
        <v>621.78</v>
      </c>
      <c r="I182" s="2"/>
      <c r="J182" s="8">
        <f t="shared" si="104"/>
        <v>3.8912003168933249E-4</v>
      </c>
      <c r="K182" s="2"/>
      <c r="L182" s="7">
        <f t="shared" si="105"/>
        <v>2073.83</v>
      </c>
      <c r="M182" s="2"/>
      <c r="N182" s="8">
        <f t="shared" si="106"/>
        <v>3.3353115249766798</v>
      </c>
      <c r="O182" s="11"/>
      <c r="P182" s="7">
        <v>2967.83</v>
      </c>
      <c r="Q182" s="2"/>
      <c r="R182" s="8">
        <f t="shared" si="107"/>
        <v>1.7056907833874432E-3</v>
      </c>
      <c r="S182" s="2"/>
      <c r="T182" s="7">
        <v>6841.16</v>
      </c>
      <c r="U182" s="2"/>
      <c r="V182" s="8">
        <f t="shared" si="108"/>
        <v>3.7473891316403066E-3</v>
      </c>
      <c r="W182" s="2"/>
      <c r="X182" s="7">
        <f t="shared" si="109"/>
        <v>-3873.33</v>
      </c>
      <c r="Y182" s="2"/>
      <c r="Z182" s="8">
        <f t="shared" si="110"/>
        <v>-0.56618029690871141</v>
      </c>
    </row>
    <row r="183" spans="1:26" s="24" customFormat="1" hidden="1" outlineLevel="2" x14ac:dyDescent="0.3">
      <c r="A183" s="27"/>
      <c r="B183" s="11" t="str">
        <f>CONCATENATE("          ", "6237", " - ", "JANITORIAL SUPPLIES")</f>
        <v xml:space="preserve">          6237 - JANITORIAL SUPPLIES</v>
      </c>
      <c r="C183" s="11"/>
      <c r="D183" s="7">
        <v>1577.68</v>
      </c>
      <c r="E183" s="2"/>
      <c r="F183" s="8">
        <f t="shared" si="103"/>
        <v>1.0383165241005193E-3</v>
      </c>
      <c r="G183" s="2"/>
      <c r="H183" s="7"/>
      <c r="I183" s="2"/>
      <c r="J183" s="8">
        <f t="shared" si="104"/>
        <v>0</v>
      </c>
      <c r="K183" s="2"/>
      <c r="L183" s="7">
        <f t="shared" si="105"/>
        <v>1577.68</v>
      </c>
      <c r="M183" s="2"/>
      <c r="N183" s="8">
        <f t="shared" si="106"/>
        <v>0</v>
      </c>
      <c r="O183" s="11"/>
      <c r="P183" s="7">
        <v>2233.65</v>
      </c>
      <c r="Q183" s="2"/>
      <c r="R183" s="8">
        <f t="shared" si="107"/>
        <v>1.2837380235098919E-3</v>
      </c>
      <c r="S183" s="2"/>
      <c r="T183" s="7">
        <v>139.31</v>
      </c>
      <c r="U183" s="2"/>
      <c r="V183" s="8">
        <f t="shared" si="108"/>
        <v>7.6309979583697962E-5</v>
      </c>
      <c r="W183" s="2"/>
      <c r="X183" s="7">
        <f t="shared" si="109"/>
        <v>2094.34</v>
      </c>
      <c r="Y183" s="2"/>
      <c r="Z183" s="8">
        <f t="shared" si="110"/>
        <v>15.033665924915656</v>
      </c>
    </row>
    <row r="184" spans="1:26" s="24" customFormat="1" hidden="1" outlineLevel="2" x14ac:dyDescent="0.3">
      <c r="A184" s="27"/>
      <c r="B184" s="11" t="str">
        <f>CONCATENATE("          ", "6241", " - ", "OFFICE EXPENSE")</f>
        <v xml:space="preserve">          6241 - OFFICE EXPENSE</v>
      </c>
      <c r="C184" s="11"/>
      <c r="D184" s="7">
        <v>5376.83</v>
      </c>
      <c r="E184" s="2"/>
      <c r="F184" s="8">
        <f t="shared" si="103"/>
        <v>3.5386462630440868E-3</v>
      </c>
      <c r="G184" s="2"/>
      <c r="H184" s="7">
        <v>2334.83</v>
      </c>
      <c r="I184" s="2"/>
      <c r="J184" s="8">
        <f t="shared" si="104"/>
        <v>1.4611745691228476E-3</v>
      </c>
      <c r="K184" s="2"/>
      <c r="L184" s="7">
        <f t="shared" si="105"/>
        <v>3042</v>
      </c>
      <c r="M184" s="2"/>
      <c r="N184" s="8">
        <f t="shared" si="106"/>
        <v>1.3028785821665818</v>
      </c>
      <c r="O184" s="11"/>
      <c r="P184" s="7">
        <v>5895.48</v>
      </c>
      <c r="Q184" s="2"/>
      <c r="R184" s="8">
        <f t="shared" si="107"/>
        <v>3.3882890528247919E-3</v>
      </c>
      <c r="S184" s="2"/>
      <c r="T184" s="7">
        <v>2765.24</v>
      </c>
      <c r="U184" s="2"/>
      <c r="V184" s="8">
        <f t="shared" si="108"/>
        <v>1.5147183112771872E-3</v>
      </c>
      <c r="W184" s="2"/>
      <c r="X184" s="7">
        <f t="shared" si="109"/>
        <v>3130.24</v>
      </c>
      <c r="Y184" s="2"/>
      <c r="Z184" s="8">
        <f t="shared" si="110"/>
        <v>1.1319957761351638</v>
      </c>
    </row>
    <row r="185" spans="1:26" s="24" customFormat="1" hidden="1" outlineLevel="2" x14ac:dyDescent="0.3">
      <c r="A185" s="27"/>
      <c r="B185" s="11" t="str">
        <f>CONCATENATE("          ", "6243", " - ", "PAPER SUPPLIES")</f>
        <v xml:space="preserve">          6243 - PAPER SUPPLIES</v>
      </c>
      <c r="C185" s="11"/>
      <c r="D185" s="7">
        <v>1801.68</v>
      </c>
      <c r="E185" s="2"/>
      <c r="F185" s="8">
        <f t="shared" si="103"/>
        <v>1.1857373581090104E-3</v>
      </c>
      <c r="G185" s="2"/>
      <c r="H185" s="7">
        <v>2044.69</v>
      </c>
      <c r="I185" s="2"/>
      <c r="J185" s="8">
        <f t="shared" si="104"/>
        <v>1.2796002405913046E-3</v>
      </c>
      <c r="K185" s="2"/>
      <c r="L185" s="7">
        <f t="shared" si="105"/>
        <v>-243.01</v>
      </c>
      <c r="M185" s="2"/>
      <c r="N185" s="8">
        <f t="shared" si="106"/>
        <v>-0.11884931212066376</v>
      </c>
      <c r="O185" s="11"/>
      <c r="P185" s="7">
        <v>3450.92</v>
      </c>
      <c r="Q185" s="2"/>
      <c r="R185" s="8">
        <f t="shared" si="107"/>
        <v>1.9833354465071773E-3</v>
      </c>
      <c r="S185" s="2"/>
      <c r="T185" s="7">
        <v>3124.69</v>
      </c>
      <c r="U185" s="2"/>
      <c r="V185" s="8">
        <f t="shared" si="108"/>
        <v>1.7116146012876692E-3</v>
      </c>
      <c r="W185" s="2"/>
      <c r="X185" s="7">
        <f t="shared" si="109"/>
        <v>326.23</v>
      </c>
      <c r="Y185" s="2"/>
      <c r="Z185" s="8">
        <f t="shared" si="110"/>
        <v>0.10440395687252176</v>
      </c>
    </row>
    <row r="186" spans="1:26" s="24" customFormat="1" hidden="1" outlineLevel="2" x14ac:dyDescent="0.3">
      <c r="A186" s="27"/>
      <c r="B186" s="11" t="str">
        <f>CONCATENATE("          ", "6245", " - ", "PRINTING")</f>
        <v xml:space="preserve">          6245 - PRINTING</v>
      </c>
      <c r="C186" s="11"/>
      <c r="D186" s="7">
        <v>-851.82</v>
      </c>
      <c r="E186" s="2"/>
      <c r="F186" s="8">
        <f t="shared" si="103"/>
        <v>-5.6060720904068273E-4</v>
      </c>
      <c r="G186" s="2"/>
      <c r="H186" s="7">
        <v>1248</v>
      </c>
      <c r="I186" s="2"/>
      <c r="J186" s="8">
        <f t="shared" si="104"/>
        <v>7.8101868755554534E-4</v>
      </c>
      <c r="K186" s="2"/>
      <c r="L186" s="7">
        <f t="shared" si="105"/>
        <v>-2099.8200000000002</v>
      </c>
      <c r="M186" s="2"/>
      <c r="N186" s="8">
        <f t="shared" si="106"/>
        <v>-1.682548076923077</v>
      </c>
      <c r="O186" s="11"/>
      <c r="P186" s="7">
        <v>-600.17999999999995</v>
      </c>
      <c r="Q186" s="2"/>
      <c r="R186" s="8">
        <f t="shared" si="107"/>
        <v>-3.4493939827196152E-4</v>
      </c>
      <c r="S186" s="2"/>
      <c r="T186" s="7">
        <v>-295.5</v>
      </c>
      <c r="U186" s="2"/>
      <c r="V186" s="8">
        <f t="shared" si="108"/>
        <v>-1.6186633383807872E-4</v>
      </c>
      <c r="W186" s="2"/>
      <c r="X186" s="7">
        <f t="shared" si="109"/>
        <v>-304.67999999999995</v>
      </c>
      <c r="Y186" s="2"/>
      <c r="Z186" s="8">
        <f t="shared" si="110"/>
        <v>1.0310659898477155</v>
      </c>
    </row>
    <row r="187" spans="1:26" s="24" customFormat="1" hidden="1" outlineLevel="2" x14ac:dyDescent="0.3">
      <c r="A187" s="27"/>
      <c r="B187" s="11" t="str">
        <f>CONCATENATE("          ", "6247", " - ", "STORE SUPPLIES")</f>
        <v xml:space="preserve">          6247 - STORE SUPPLIES</v>
      </c>
      <c r="C187" s="11"/>
      <c r="D187" s="7">
        <v>5278.83</v>
      </c>
      <c r="E187" s="2"/>
      <c r="F187" s="8">
        <f t="shared" si="103"/>
        <v>3.4741496481653722E-3</v>
      </c>
      <c r="G187" s="2"/>
      <c r="H187" s="7">
        <v>1890.32</v>
      </c>
      <c r="I187" s="2"/>
      <c r="J187" s="8">
        <f t="shared" si="104"/>
        <v>1.1829929851442295E-3</v>
      </c>
      <c r="K187" s="2"/>
      <c r="L187" s="7">
        <f t="shared" si="105"/>
        <v>3388.51</v>
      </c>
      <c r="M187" s="2"/>
      <c r="N187" s="8">
        <f t="shared" si="106"/>
        <v>1.7925589318210675</v>
      </c>
      <c r="O187" s="11"/>
      <c r="P187" s="7">
        <v>9129.7099999999991</v>
      </c>
      <c r="Q187" s="2"/>
      <c r="R187" s="8">
        <f t="shared" si="107"/>
        <v>5.2470869968967802E-3</v>
      </c>
      <c r="S187" s="2"/>
      <c r="T187" s="7">
        <v>7291.91</v>
      </c>
      <c r="U187" s="2"/>
      <c r="V187" s="8">
        <f t="shared" si="108"/>
        <v>3.9942969149821478E-3</v>
      </c>
      <c r="W187" s="2"/>
      <c r="X187" s="7">
        <f t="shared" si="109"/>
        <v>1837.7999999999993</v>
      </c>
      <c r="Y187" s="2"/>
      <c r="Z187" s="8">
        <f t="shared" si="110"/>
        <v>0.25203273216482364</v>
      </c>
    </row>
    <row r="188" spans="1:26" s="28" customFormat="1" outlineLevel="1" collapsed="1" x14ac:dyDescent="0.3">
      <c r="A188" s="29"/>
      <c r="B188" s="14" t="str">
        <f>CONCATENATE("     ","Telephone/Data Lines                              ")</f>
        <v xml:space="preserve">     Telephone/Data Lines                              </v>
      </c>
      <c r="C188" s="14"/>
      <c r="D188" s="1">
        <f>SUM(OSRRefD22_20x_0)</f>
        <v>2274.39</v>
      </c>
      <c r="E188" s="1"/>
      <c r="F188" s="5">
        <f t="shared" ref="F188:F190" si="111">IF(D$12=0,0,D188/D$12)</f>
        <v>1.4968413868775544E-3</v>
      </c>
      <c r="G188" s="1"/>
      <c r="H188" s="1">
        <f>SUM(OSRRefH22_20x_0)</f>
        <v>2485.56</v>
      </c>
      <c r="I188" s="1"/>
      <c r="J188" s="5">
        <f t="shared" ref="J188:J190" si="112">IF(H$12=0,0,H188/H$12)</f>
        <v>1.5555038533978855E-3</v>
      </c>
      <c r="K188" s="1"/>
      <c r="L188" s="1">
        <f t="shared" ref="L188:L190" si="113">+D188-H188</f>
        <v>-211.17000000000007</v>
      </c>
      <c r="M188" s="1"/>
      <c r="N188" s="5">
        <f t="shared" ref="N188:N190" si="114">IF(H188=0,0,L188/H188)</f>
        <v>-8.4958721575821974E-2</v>
      </c>
      <c r="O188" s="14"/>
      <c r="P188" s="1">
        <f>SUM(OSRRefP22_20x_0)</f>
        <v>3961.63</v>
      </c>
      <c r="Q188" s="1"/>
      <c r="R188" s="5">
        <f t="shared" ref="R188:R190" si="115">IF(P$12=0,0,P188/P$12)</f>
        <v>2.276854057742929E-3</v>
      </c>
      <c r="S188" s="1"/>
      <c r="T188" s="1">
        <f>SUM(OSRRefT22_20x_0)</f>
        <v>5247.62</v>
      </c>
      <c r="U188" s="1"/>
      <c r="V188" s="5">
        <f t="shared" ref="V188:V190" si="116">IF(T$12=0,0,T188/T$12)</f>
        <v>2.8744941142990819E-3</v>
      </c>
      <c r="W188" s="1"/>
      <c r="X188" s="1">
        <f t="shared" ref="X188:X190" si="117">+P188-T188</f>
        <v>-1285.9899999999998</v>
      </c>
      <c r="Y188" s="1"/>
      <c r="Z188" s="5">
        <f t="shared" ref="Z188:Z190" si="118">IF(T188=0,0,X188/T188)</f>
        <v>-0.24506157076922486</v>
      </c>
    </row>
    <row r="189" spans="1:26" s="24" customFormat="1" hidden="1" outlineLevel="2" x14ac:dyDescent="0.3">
      <c r="A189" s="27"/>
      <c r="B189" s="11" t="str">
        <f>CONCATENATE("          ", "6303", " - ", "DATA PHONE LINES")</f>
        <v xml:space="preserve">          6303 - DATA PHONE LINES</v>
      </c>
      <c r="C189" s="11"/>
      <c r="D189" s="7"/>
      <c r="E189" s="2"/>
      <c r="F189" s="8">
        <f t="shared" si="111"/>
        <v>0</v>
      </c>
      <c r="G189" s="2"/>
      <c r="H189" s="7"/>
      <c r="I189" s="2"/>
      <c r="J189" s="8">
        <f t="shared" si="112"/>
        <v>0</v>
      </c>
      <c r="K189" s="2"/>
      <c r="L189" s="7">
        <f t="shared" si="113"/>
        <v>0</v>
      </c>
      <c r="M189" s="2"/>
      <c r="N189" s="8">
        <f t="shared" si="114"/>
        <v>0</v>
      </c>
      <c r="O189" s="11"/>
      <c r="P189" s="7">
        <v>295</v>
      </c>
      <c r="Q189" s="2"/>
      <c r="R189" s="8">
        <f t="shared" si="115"/>
        <v>1.6954434084812665E-4</v>
      </c>
      <c r="S189" s="2"/>
      <c r="T189" s="7">
        <v>295</v>
      </c>
      <c r="U189" s="2"/>
      <c r="V189" s="8">
        <f t="shared" si="116"/>
        <v>1.6159244833243054E-4</v>
      </c>
      <c r="W189" s="2"/>
      <c r="X189" s="7">
        <f t="shared" si="117"/>
        <v>0</v>
      </c>
      <c r="Y189" s="2"/>
      <c r="Z189" s="8">
        <f t="shared" si="118"/>
        <v>0</v>
      </c>
    </row>
    <row r="190" spans="1:26" s="24" customFormat="1" hidden="1" outlineLevel="2" x14ac:dyDescent="0.3">
      <c r="A190" s="27"/>
      <c r="B190" s="11" t="str">
        <f>CONCATENATE("          ", "6309", " - ", "TELEPHONE")</f>
        <v xml:space="preserve">          6309 - TELEPHONE</v>
      </c>
      <c r="C190" s="11"/>
      <c r="D190" s="7">
        <v>2274.39</v>
      </c>
      <c r="E190" s="2"/>
      <c r="F190" s="8">
        <f t="shared" si="111"/>
        <v>1.4968413868775544E-3</v>
      </c>
      <c r="G190" s="2"/>
      <c r="H190" s="7">
        <v>2485.56</v>
      </c>
      <c r="I190" s="2"/>
      <c r="J190" s="8">
        <f t="shared" si="112"/>
        <v>1.5555038533978855E-3</v>
      </c>
      <c r="K190" s="2"/>
      <c r="L190" s="7">
        <f t="shared" si="113"/>
        <v>-211.17000000000007</v>
      </c>
      <c r="M190" s="2"/>
      <c r="N190" s="8">
        <f t="shared" si="114"/>
        <v>-8.4958721575821974E-2</v>
      </c>
      <c r="O190" s="11"/>
      <c r="P190" s="7">
        <v>3666.63</v>
      </c>
      <c r="Q190" s="2"/>
      <c r="R190" s="8">
        <f t="shared" si="115"/>
        <v>2.1073097168948021E-3</v>
      </c>
      <c r="S190" s="2"/>
      <c r="T190" s="7">
        <v>4952.62</v>
      </c>
      <c r="U190" s="2"/>
      <c r="V190" s="8">
        <f t="shared" si="116"/>
        <v>2.7129016659666514E-3</v>
      </c>
      <c r="W190" s="2"/>
      <c r="X190" s="7">
        <f t="shared" si="117"/>
        <v>-1285.9899999999998</v>
      </c>
      <c r="Y190" s="2"/>
      <c r="Z190" s="8">
        <f t="shared" si="118"/>
        <v>-0.25965852417508306</v>
      </c>
    </row>
    <row r="191" spans="1:26" s="28" customFormat="1" outlineLevel="1" collapsed="1" x14ac:dyDescent="0.3">
      <c r="A191" s="29"/>
      <c r="B191" s="14" t="str">
        <f>CONCATENATE("     ","Training                                          ")</f>
        <v xml:space="preserve">     Training                                          </v>
      </c>
      <c r="C191" s="14"/>
      <c r="D191" s="1">
        <f>SUM(OSRRefD22_21x_0)</f>
        <v>0</v>
      </c>
      <c r="E191" s="1"/>
      <c r="F191" s="5">
        <f t="shared" ref="F191:F196" si="119">IF(D$12=0,0,D191/D$12)</f>
        <v>0</v>
      </c>
      <c r="G191" s="1"/>
      <c r="H191" s="1">
        <f>SUM(OSRRefH22_21x_0)</f>
        <v>0</v>
      </c>
      <c r="I191" s="1"/>
      <c r="J191" s="5">
        <f t="shared" ref="J191:J196" si="120">IF(H$12=0,0,H191/H$12)</f>
        <v>0</v>
      </c>
      <c r="K191" s="1"/>
      <c r="L191" s="1">
        <f t="shared" ref="L191:L196" si="121">+D191-H191</f>
        <v>0</v>
      </c>
      <c r="M191" s="1"/>
      <c r="N191" s="5">
        <f t="shared" ref="N191:N196" si="122">IF(H191=0,0,L191/H191)</f>
        <v>0</v>
      </c>
      <c r="O191" s="14"/>
      <c r="P191" s="1">
        <f>SUM(OSRRefP22_21x_0)</f>
        <v>0</v>
      </c>
      <c r="Q191" s="1"/>
      <c r="R191" s="5">
        <f t="shared" ref="R191:R196" si="123">IF(P$12=0,0,P191/P$12)</f>
        <v>0</v>
      </c>
      <c r="S191" s="1"/>
      <c r="T191" s="1">
        <f>SUM(OSRRefT22_21x_0)</f>
        <v>131.63</v>
      </c>
      <c r="U191" s="1"/>
      <c r="V191" s="5">
        <f t="shared" ref="V191:V196" si="124">IF(T$12=0,0,T191/T$12)</f>
        <v>7.2103098216941806E-5</v>
      </c>
      <c r="W191" s="1"/>
      <c r="X191" s="1">
        <f t="shared" ref="X191:X196" si="125">+P191-T191</f>
        <v>-131.63</v>
      </c>
      <c r="Y191" s="1"/>
      <c r="Z191" s="5">
        <f t="shared" ref="Z191:Z196" si="126">IF(T191=0,0,X191/T191)</f>
        <v>-1</v>
      </c>
    </row>
    <row r="192" spans="1:26" s="24" customFormat="1" hidden="1" outlineLevel="2" x14ac:dyDescent="0.3">
      <c r="A192" s="27"/>
      <c r="B192" s="11" t="str">
        <f>CONCATENATE("          ", "6376", " - ", "TRAINING")</f>
        <v xml:space="preserve">          6376 - TRAINING</v>
      </c>
      <c r="C192" s="11"/>
      <c r="D192" s="7"/>
      <c r="E192" s="2"/>
      <c r="F192" s="8">
        <f t="shared" si="119"/>
        <v>0</v>
      </c>
      <c r="G192" s="2"/>
      <c r="H192" s="7"/>
      <c r="I192" s="2"/>
      <c r="J192" s="8">
        <f t="shared" si="120"/>
        <v>0</v>
      </c>
      <c r="K192" s="2"/>
      <c r="L192" s="7">
        <f t="shared" si="121"/>
        <v>0</v>
      </c>
      <c r="M192" s="2"/>
      <c r="N192" s="8">
        <f t="shared" si="122"/>
        <v>0</v>
      </c>
      <c r="O192" s="11"/>
      <c r="P192" s="7"/>
      <c r="Q192" s="2"/>
      <c r="R192" s="8">
        <f t="shared" si="123"/>
        <v>0</v>
      </c>
      <c r="S192" s="2"/>
      <c r="T192" s="7">
        <v>131.63</v>
      </c>
      <c r="U192" s="2"/>
      <c r="V192" s="8">
        <f t="shared" si="124"/>
        <v>7.2103098216941806E-5</v>
      </c>
      <c r="W192" s="2"/>
      <c r="X192" s="7">
        <f t="shared" si="125"/>
        <v>-131.63</v>
      </c>
      <c r="Y192" s="2"/>
      <c r="Z192" s="8">
        <f t="shared" si="126"/>
        <v>-1</v>
      </c>
    </row>
    <row r="193" spans="1:26" s="28" customFormat="1" outlineLevel="1" collapsed="1" x14ac:dyDescent="0.3">
      <c r="A193" s="29"/>
      <c r="B193" s="14" t="str">
        <f>CONCATENATE("     ","Travel                                            ")</f>
        <v xml:space="preserve">     Travel                                            </v>
      </c>
      <c r="C193" s="14"/>
      <c r="D193" s="1">
        <f>SUM(OSRRefD22_22x_0)</f>
        <v>0</v>
      </c>
      <c r="E193" s="1"/>
      <c r="F193" s="5">
        <f t="shared" si="119"/>
        <v>0</v>
      </c>
      <c r="G193" s="1"/>
      <c r="H193" s="1">
        <f>SUM(OSRRefH22_22x_0)</f>
        <v>25.76</v>
      </c>
      <c r="I193" s="1"/>
      <c r="J193" s="5">
        <f t="shared" si="120"/>
        <v>1.6121026755954206E-5</v>
      </c>
      <c r="K193" s="1"/>
      <c r="L193" s="1">
        <f t="shared" si="121"/>
        <v>-25.76</v>
      </c>
      <c r="M193" s="1"/>
      <c r="N193" s="5">
        <f t="shared" si="122"/>
        <v>-1</v>
      </c>
      <c r="O193" s="14"/>
      <c r="P193" s="1">
        <f>SUM(OSRRefP22_22x_0)</f>
        <v>683.14</v>
      </c>
      <c r="Q193" s="1"/>
      <c r="R193" s="5">
        <f t="shared" si="123"/>
        <v>3.9261871527792962E-4</v>
      </c>
      <c r="S193" s="1"/>
      <c r="T193" s="1">
        <f>SUM(OSRRefT22_22x_0)</f>
        <v>300.96999999999997</v>
      </c>
      <c r="U193" s="1"/>
      <c r="V193" s="5">
        <f t="shared" si="124"/>
        <v>1.6486264126986988E-4</v>
      </c>
      <c r="W193" s="1"/>
      <c r="X193" s="1">
        <f t="shared" si="125"/>
        <v>382.17</v>
      </c>
      <c r="Y193" s="1"/>
      <c r="Z193" s="5">
        <f t="shared" si="126"/>
        <v>1.269794331660963</v>
      </c>
    </row>
    <row r="194" spans="1:26" s="24" customFormat="1" hidden="1" outlineLevel="2" x14ac:dyDescent="0.3">
      <c r="A194" s="27"/>
      <c r="B194" s="11" t="str">
        <f>CONCATENATE("          ", "6292", " - ", "TRAVEL/CONFERENCE")</f>
        <v xml:space="preserve">          6292 - TRAVEL/CONFERENCE</v>
      </c>
      <c r="C194" s="11"/>
      <c r="D194" s="7"/>
      <c r="E194" s="2"/>
      <c r="F194" s="8">
        <f t="shared" si="119"/>
        <v>0</v>
      </c>
      <c r="G194" s="2"/>
      <c r="H194" s="7"/>
      <c r="I194" s="2"/>
      <c r="J194" s="8">
        <f t="shared" si="120"/>
        <v>0</v>
      </c>
      <c r="K194" s="2"/>
      <c r="L194" s="7">
        <f t="shared" si="121"/>
        <v>0</v>
      </c>
      <c r="M194" s="2"/>
      <c r="N194" s="8">
        <f t="shared" si="122"/>
        <v>0</v>
      </c>
      <c r="O194" s="11"/>
      <c r="P194" s="7">
        <v>495</v>
      </c>
      <c r="Q194" s="2"/>
      <c r="R194" s="8">
        <f t="shared" si="123"/>
        <v>2.8448965667736507E-4</v>
      </c>
      <c r="S194" s="2"/>
      <c r="T194" s="7">
        <v>0.16</v>
      </c>
      <c r="U194" s="2"/>
      <c r="V194" s="8">
        <f t="shared" si="124"/>
        <v>8.7643361807419955E-8</v>
      </c>
      <c r="W194" s="2"/>
      <c r="X194" s="7">
        <f t="shared" si="125"/>
        <v>494.84</v>
      </c>
      <c r="Y194" s="2"/>
      <c r="Z194" s="8">
        <f t="shared" si="126"/>
        <v>3092.75</v>
      </c>
    </row>
    <row r="195" spans="1:26" s="24" customFormat="1" hidden="1" outlineLevel="2" x14ac:dyDescent="0.3">
      <c r="A195" s="27"/>
      <c r="B195" s="11" t="str">
        <f>CONCATENATE("          ", "6294", " - ", "TRAVEL OPERATIONAL")</f>
        <v xml:space="preserve">          6294 - TRAVEL OPERATIONAL</v>
      </c>
      <c r="C195" s="11"/>
      <c r="D195" s="7"/>
      <c r="E195" s="2"/>
      <c r="F195" s="8">
        <f t="shared" si="119"/>
        <v>0</v>
      </c>
      <c r="G195" s="2"/>
      <c r="H195" s="7">
        <v>25.76</v>
      </c>
      <c r="I195" s="2"/>
      <c r="J195" s="8">
        <f t="shared" si="120"/>
        <v>1.6121026755954206E-5</v>
      </c>
      <c r="K195" s="2"/>
      <c r="L195" s="7">
        <f t="shared" si="121"/>
        <v>-25.76</v>
      </c>
      <c r="M195" s="2"/>
      <c r="N195" s="8">
        <f t="shared" si="122"/>
        <v>-1</v>
      </c>
      <c r="O195" s="11"/>
      <c r="P195" s="7">
        <v>188.14</v>
      </c>
      <c r="Q195" s="2"/>
      <c r="R195" s="8">
        <f t="shared" si="123"/>
        <v>1.0812905860056457E-4</v>
      </c>
      <c r="S195" s="2"/>
      <c r="T195" s="7">
        <v>240.92</v>
      </c>
      <c r="U195" s="2"/>
      <c r="V195" s="8">
        <f t="shared" si="124"/>
        <v>1.319689920415226E-4</v>
      </c>
      <c r="W195" s="2"/>
      <c r="X195" s="7">
        <f t="shared" si="125"/>
        <v>-52.78</v>
      </c>
      <c r="Y195" s="2"/>
      <c r="Z195" s="8">
        <f t="shared" si="126"/>
        <v>-0.21907687199070233</v>
      </c>
    </row>
    <row r="196" spans="1:26" s="24" customFormat="1" hidden="1" outlineLevel="2" x14ac:dyDescent="0.3">
      <c r="A196" s="27"/>
      <c r="B196" s="11" t="str">
        <f>CONCATENATE("          ", "6298", " - ", "VEHICLE MILEAGE")</f>
        <v xml:space="preserve">          6298 - VEHICLE MILEAGE</v>
      </c>
      <c r="C196" s="11"/>
      <c r="D196" s="7"/>
      <c r="E196" s="2"/>
      <c r="F196" s="8">
        <f t="shared" si="119"/>
        <v>0</v>
      </c>
      <c r="G196" s="2"/>
      <c r="H196" s="7"/>
      <c r="I196" s="2"/>
      <c r="J196" s="8">
        <f t="shared" si="120"/>
        <v>0</v>
      </c>
      <c r="K196" s="2"/>
      <c r="L196" s="7">
        <f t="shared" si="121"/>
        <v>0</v>
      </c>
      <c r="M196" s="2"/>
      <c r="N196" s="8">
        <f t="shared" si="122"/>
        <v>0</v>
      </c>
      <c r="O196" s="11"/>
      <c r="P196" s="7"/>
      <c r="Q196" s="2"/>
      <c r="R196" s="8">
        <f t="shared" si="123"/>
        <v>0</v>
      </c>
      <c r="S196" s="2"/>
      <c r="T196" s="7">
        <v>59.89</v>
      </c>
      <c r="U196" s="2"/>
      <c r="V196" s="8">
        <f t="shared" si="124"/>
        <v>3.2806005866539883E-5</v>
      </c>
      <c r="W196" s="2"/>
      <c r="X196" s="7">
        <f t="shared" si="125"/>
        <v>-59.89</v>
      </c>
      <c r="Y196" s="2"/>
      <c r="Z196" s="8">
        <f t="shared" si="126"/>
        <v>-1</v>
      </c>
    </row>
    <row r="197" spans="1:26" s="28" customFormat="1" outlineLevel="1" collapsed="1" x14ac:dyDescent="0.3">
      <c r="A197" s="29"/>
      <c r="B197" s="14" t="str">
        <f>CONCATENATE("     ","Utilities                                         ")</f>
        <v xml:space="preserve">     Utilities                                         </v>
      </c>
      <c r="C197" s="14"/>
      <c r="D197" s="1">
        <f>SUM(OSRRefD22_23x_0)</f>
        <v>6137.29</v>
      </c>
      <c r="E197" s="1"/>
      <c r="F197" s="5">
        <f t="shared" ref="F197:F198" si="127">IF(D$12=0,0,D197/D$12)</f>
        <v>4.0391268319284494E-3</v>
      </c>
      <c r="G197" s="1"/>
      <c r="H197" s="1">
        <f>SUM(OSRRefH22_23x_0)</f>
        <v>6209.91</v>
      </c>
      <c r="I197" s="1"/>
      <c r="J197" s="5">
        <f t="shared" ref="J197:J198" si="128">IF(H$12=0,0,H197/H$12)</f>
        <v>3.8862626266330581E-3</v>
      </c>
      <c r="K197" s="1"/>
      <c r="L197" s="1">
        <f t="shared" ref="L197:L198" si="129">+D197-H197</f>
        <v>-72.619999999999891</v>
      </c>
      <c r="M197" s="1"/>
      <c r="N197" s="5">
        <f t="shared" ref="N197:N198" si="130">IF(H197=0,0,L197/H197)</f>
        <v>-1.1694211349278796E-2</v>
      </c>
      <c r="O197" s="14"/>
      <c r="P197" s="1">
        <f>SUM(OSRRefP22_23x_0)</f>
        <v>12273.78</v>
      </c>
      <c r="Q197" s="1"/>
      <c r="R197" s="5">
        <f t="shared" ref="R197:R198" si="131">IF(P$12=0,0,P197/P$12)</f>
        <v>7.0540675925929493E-3</v>
      </c>
      <c r="S197" s="1"/>
      <c r="T197" s="1">
        <f>SUM(OSRRefT22_23x_0)</f>
        <v>12421.37</v>
      </c>
      <c r="U197" s="1"/>
      <c r="V197" s="5">
        <f t="shared" ref="V197:V198" si="132">IF(T$12=0,0,T197/T$12)</f>
        <v>6.8040664065864504E-3</v>
      </c>
      <c r="W197" s="1"/>
      <c r="X197" s="1">
        <f t="shared" ref="X197:X198" si="133">+P197-T197</f>
        <v>-147.59000000000015</v>
      </c>
      <c r="Y197" s="1"/>
      <c r="Z197" s="5">
        <f t="shared" ref="Z197:Z198" si="134">IF(T197=0,0,X197/T197)</f>
        <v>-1.1881942169020015E-2</v>
      </c>
    </row>
    <row r="198" spans="1:26" s="24" customFormat="1" hidden="1" outlineLevel="2" x14ac:dyDescent="0.3">
      <c r="A198" s="27"/>
      <c r="B198" s="11" t="str">
        <f>CONCATENATE("          ", "6274", " - ", "UTILITIES")</f>
        <v xml:space="preserve">          6274 - UTILITIES</v>
      </c>
      <c r="C198" s="11"/>
      <c r="D198" s="7">
        <v>6137.29</v>
      </c>
      <c r="E198" s="2"/>
      <c r="F198" s="8">
        <f t="shared" si="127"/>
        <v>4.0391268319284494E-3</v>
      </c>
      <c r="G198" s="2"/>
      <c r="H198" s="7">
        <v>6209.91</v>
      </c>
      <c r="I198" s="2"/>
      <c r="J198" s="8">
        <f t="shared" si="128"/>
        <v>3.8862626266330581E-3</v>
      </c>
      <c r="K198" s="2"/>
      <c r="L198" s="7">
        <f t="shared" si="129"/>
        <v>-72.619999999999891</v>
      </c>
      <c r="M198" s="2"/>
      <c r="N198" s="8">
        <f t="shared" si="130"/>
        <v>-1.1694211349278796E-2</v>
      </c>
      <c r="O198" s="11"/>
      <c r="P198" s="7">
        <v>12273.78</v>
      </c>
      <c r="Q198" s="2"/>
      <c r="R198" s="8">
        <f t="shared" si="131"/>
        <v>7.0540675925929493E-3</v>
      </c>
      <c r="S198" s="2"/>
      <c r="T198" s="7">
        <v>12421.37</v>
      </c>
      <c r="U198" s="2"/>
      <c r="V198" s="8">
        <f t="shared" si="132"/>
        <v>6.8040664065864504E-3</v>
      </c>
      <c r="W198" s="2"/>
      <c r="X198" s="7">
        <f t="shared" si="133"/>
        <v>-147.59000000000015</v>
      </c>
      <c r="Y198" s="2"/>
      <c r="Z198" s="8">
        <f t="shared" si="134"/>
        <v>-1.1881942169020015E-2</v>
      </c>
    </row>
    <row r="199" spans="1:26" s="61" customFormat="1" x14ac:dyDescent="0.3">
      <c r="A199" s="37"/>
      <c r="B199" s="37"/>
      <c r="C199" s="37"/>
      <c r="D199" s="1"/>
      <c r="E199" s="1"/>
      <c r="F199" s="5"/>
      <c r="G199" s="1"/>
      <c r="H199" s="1"/>
      <c r="I199" s="1"/>
      <c r="J199" s="5"/>
      <c r="K199" s="1"/>
      <c r="L199" s="1"/>
      <c r="M199" s="1"/>
      <c r="N199" s="5"/>
      <c r="O199" s="37"/>
      <c r="P199" s="1"/>
      <c r="Q199" s="1"/>
      <c r="R199" s="5"/>
      <c r="S199" s="1"/>
      <c r="T199" s="1"/>
      <c r="U199" s="1"/>
      <c r="V199" s="5"/>
      <c r="W199" s="1"/>
      <c r="X199" s="1"/>
      <c r="Y199" s="1"/>
      <c r="Z199" s="5"/>
    </row>
    <row r="200" spans="1:26" s="23" customFormat="1" collapsed="1" x14ac:dyDescent="0.3">
      <c r="A200" s="10"/>
      <c r="B200" s="26" t="s">
        <v>292</v>
      </c>
      <c r="C200" s="10"/>
      <c r="D200" s="4">
        <f>SUM(OSRRefD25x_0)</f>
        <v>144356.09</v>
      </c>
      <c r="E200" s="4"/>
      <c r="F200" s="12">
        <f t="shared" ref="F200:F204" si="135">IF(D$12=0,0,D200/D$12)</f>
        <v>9.5004889205378612E-2</v>
      </c>
      <c r="G200" s="4"/>
      <c r="H200" s="4">
        <f>SUM(OSRRefH25x_0)</f>
        <v>56868.1</v>
      </c>
      <c r="I200" s="4"/>
      <c r="J200" s="12">
        <f t="shared" ref="J200:J204" si="136">IF(H$12=0,0,H200/H$12)</f>
        <v>3.5588981430911465E-2</v>
      </c>
      <c r="K200" s="4"/>
      <c r="L200" s="4">
        <f t="shared" ref="L200:L204" si="137">+D200-H200</f>
        <v>87487.989999999991</v>
      </c>
      <c r="M200" s="4"/>
      <c r="N200" s="12">
        <f t="shared" ref="N200:N204" si="138">IF(H200=0,0,L200/H200)</f>
        <v>1.538437014776298</v>
      </c>
      <c r="O200" s="10"/>
      <c r="P200" s="4">
        <f>SUM(OSRRefP25x_0)</f>
        <v>183996.94</v>
      </c>
      <c r="Q200" s="4"/>
      <c r="R200" s="12">
        <f t="shared" ref="R200:R204" si="139">IF(P$12=0,0,P200/P$12)</f>
        <v>0.10574793189956715</v>
      </c>
      <c r="S200" s="4"/>
      <c r="T200" s="4">
        <f>SUM(OSRRefT25x_0)</f>
        <v>254740.65</v>
      </c>
      <c r="U200" s="4"/>
      <c r="V200" s="12">
        <f t="shared" ref="V200:V204" si="140">IF(T$12=0,0,T200/T$12)</f>
        <v>0.13953954346879582</v>
      </c>
      <c r="W200" s="4"/>
      <c r="X200" s="4">
        <f t="shared" ref="X200:X204" si="141">+P200-T200</f>
        <v>-70743.709999999992</v>
      </c>
      <c r="Y200" s="4"/>
      <c r="Z200" s="12">
        <f t="shared" ref="Z200:Z204" si="142">IF(T200=0,0,X200/T200)</f>
        <v>-0.27770875987008747</v>
      </c>
    </row>
    <row r="201" spans="1:26" s="24" customFormat="1" hidden="1" outlineLevel="1" x14ac:dyDescent="0.3">
      <c r="A201" s="44"/>
      <c r="B201" s="11" t="str">
        <f>CONCATENATE("          ", "9150", " - ", "MISC. INCOME")</f>
        <v xml:space="preserve">          9150 - MISC. INCOME</v>
      </c>
      <c r="C201" s="11"/>
      <c r="D201" s="2">
        <f>--74872.62</f>
        <v>74872.62</v>
      </c>
      <c r="E201" s="2"/>
      <c r="F201" s="19">
        <f t="shared" si="135"/>
        <v>4.9275821807146583E-2</v>
      </c>
      <c r="G201" s="2"/>
      <c r="H201" s="2">
        <f>--56796.1</f>
        <v>56796.1</v>
      </c>
      <c r="I201" s="2"/>
      <c r="J201" s="19">
        <f t="shared" si="136"/>
        <v>3.5543922660475569E-2</v>
      </c>
      <c r="K201" s="2"/>
      <c r="L201" s="2">
        <f t="shared" si="137"/>
        <v>18076.519999999997</v>
      </c>
      <c r="M201" s="2"/>
      <c r="N201" s="19">
        <f t="shared" si="138"/>
        <v>0.31827044462559922</v>
      </c>
      <c r="O201" s="11"/>
      <c r="P201" s="2">
        <f>--108117.61</f>
        <v>108117.61</v>
      </c>
      <c r="Q201" s="2"/>
      <c r="R201" s="19">
        <f t="shared" si="139"/>
        <v>6.2138064140762124E-2</v>
      </c>
      <c r="S201" s="2"/>
      <c r="T201" s="2">
        <f>--92530.36</f>
        <v>92530.36</v>
      </c>
      <c r="U201" s="2"/>
      <c r="V201" s="19">
        <f t="shared" si="140"/>
        <v>5.0685448872817618E-2</v>
      </c>
      <c r="W201" s="2"/>
      <c r="X201" s="2">
        <f t="shared" si="141"/>
        <v>15587.25</v>
      </c>
      <c r="Y201" s="2"/>
      <c r="Z201" s="19">
        <f t="shared" si="142"/>
        <v>0.16845552097711497</v>
      </c>
    </row>
    <row r="202" spans="1:26" s="24" customFormat="1" hidden="1" outlineLevel="1" x14ac:dyDescent="0.3">
      <c r="A202" s="44"/>
      <c r="B202" s="11" t="str">
        <f>CONCATENATE("          ", "9151", " - ", "MISC. INCOME")</f>
        <v xml:space="preserve">          9151 - MISC. INCOME</v>
      </c>
      <c r="C202" s="11"/>
      <c r="D202" s="2">
        <f>--11556.36</f>
        <v>11556.36</v>
      </c>
      <c r="E202" s="2"/>
      <c r="F202" s="19">
        <f t="shared" si="135"/>
        <v>7.6055724522427091E-3</v>
      </c>
      <c r="G202" s="2"/>
      <c r="H202" s="2">
        <f>0</f>
        <v>0</v>
      </c>
      <c r="I202" s="2"/>
      <c r="J202" s="19">
        <f t="shared" si="136"/>
        <v>0</v>
      </c>
      <c r="K202" s="2"/>
      <c r="L202" s="2">
        <f t="shared" si="137"/>
        <v>11556.36</v>
      </c>
      <c r="M202" s="2"/>
      <c r="N202" s="19">
        <f t="shared" si="138"/>
        <v>0</v>
      </c>
      <c r="O202" s="11"/>
      <c r="P202" s="2">
        <f>--11556.36</f>
        <v>11556.36</v>
      </c>
      <c r="Q202" s="2"/>
      <c r="R202" s="19">
        <f t="shared" si="139"/>
        <v>6.6417472501818882E-3</v>
      </c>
      <c r="S202" s="2"/>
      <c r="T202" s="2">
        <f>0</f>
        <v>0</v>
      </c>
      <c r="U202" s="2"/>
      <c r="V202" s="19">
        <f t="shared" si="140"/>
        <v>0</v>
      </c>
      <c r="W202" s="2"/>
      <c r="X202" s="2">
        <f t="shared" si="141"/>
        <v>11556.36</v>
      </c>
      <c r="Y202" s="2"/>
      <c r="Z202" s="19">
        <f t="shared" si="142"/>
        <v>0</v>
      </c>
    </row>
    <row r="203" spans="1:26" s="24" customFormat="1" hidden="1" outlineLevel="1" x14ac:dyDescent="0.3">
      <c r="A203" s="44"/>
      <c r="B203" s="11" t="str">
        <f>CONCATENATE("          ", "9152", " - ", "MISC. INCOME")</f>
        <v xml:space="preserve">          9152 - MISC. INCOME</v>
      </c>
      <c r="C203" s="11"/>
      <c r="D203" s="2">
        <f>--936.11</f>
        <v>936.11</v>
      </c>
      <c r="E203" s="2"/>
      <c r="F203" s="19">
        <f t="shared" si="135"/>
        <v>6.1608087912361003E-4</v>
      </c>
      <c r="G203" s="2"/>
      <c r="H203" s="2">
        <f>--72</f>
        <v>72</v>
      </c>
      <c r="I203" s="2"/>
      <c r="J203" s="19">
        <f t="shared" si="136"/>
        <v>4.5058770435896844E-5</v>
      </c>
      <c r="K203" s="2"/>
      <c r="L203" s="2">
        <f t="shared" si="137"/>
        <v>864.11</v>
      </c>
      <c r="M203" s="2"/>
      <c r="N203" s="19">
        <f t="shared" si="138"/>
        <v>12.001527777777778</v>
      </c>
      <c r="O203" s="11"/>
      <c r="P203" s="2">
        <f>--1003.03</f>
        <v>1003.03</v>
      </c>
      <c r="Q203" s="2"/>
      <c r="R203" s="19">
        <f t="shared" si="139"/>
        <v>5.7646800068100496E-4</v>
      </c>
      <c r="S203" s="2"/>
      <c r="T203" s="2">
        <f>--1546.39</f>
        <v>1546.39</v>
      </c>
      <c r="U203" s="2"/>
      <c r="V203" s="19">
        <f t="shared" si="140"/>
        <v>8.47067614158601E-4</v>
      </c>
      <c r="W203" s="2"/>
      <c r="X203" s="2">
        <f t="shared" si="141"/>
        <v>-543.36000000000013</v>
      </c>
      <c r="Y203" s="2"/>
      <c r="Z203" s="19">
        <f t="shared" si="142"/>
        <v>-0.35137319822295804</v>
      </c>
    </row>
    <row r="204" spans="1:26" s="24" customFormat="1" hidden="1" outlineLevel="1" x14ac:dyDescent="0.3">
      <c r="A204" s="44"/>
      <c r="B204" s="11" t="str">
        <f>CONCATENATE("          ", "9163", " - ", "MISC. INCOME")</f>
        <v xml:space="preserve">          9163 - MISC. INCOME</v>
      </c>
      <c r="C204" s="11"/>
      <c r="D204" s="2">
        <f>--56991</f>
        <v>56991</v>
      </c>
      <c r="E204" s="2"/>
      <c r="F204" s="19">
        <f t="shared" si="135"/>
        <v>3.750741406686571E-2</v>
      </c>
      <c r="G204" s="2"/>
      <c r="H204" s="2">
        <f>0</f>
        <v>0</v>
      </c>
      <c r="I204" s="2"/>
      <c r="J204" s="19">
        <f t="shared" si="136"/>
        <v>0</v>
      </c>
      <c r="K204" s="2"/>
      <c r="L204" s="2">
        <f t="shared" si="137"/>
        <v>56991</v>
      </c>
      <c r="M204" s="2"/>
      <c r="N204" s="19">
        <f t="shared" si="138"/>
        <v>0</v>
      </c>
      <c r="O204" s="11"/>
      <c r="P204" s="2">
        <f>--63319.94</f>
        <v>63319.94</v>
      </c>
      <c r="Q204" s="2"/>
      <c r="R204" s="19">
        <f t="shared" si="139"/>
        <v>3.6391652507942129E-2</v>
      </c>
      <c r="S204" s="2"/>
      <c r="T204" s="2">
        <f>--160663.9</f>
        <v>160663.9</v>
      </c>
      <c r="U204" s="2"/>
      <c r="V204" s="19">
        <f t="shared" si="140"/>
        <v>8.8007026981819614E-2</v>
      </c>
      <c r="W204" s="2"/>
      <c r="X204" s="2">
        <f t="shared" si="141"/>
        <v>-97343.959999999992</v>
      </c>
      <c r="Y204" s="2"/>
      <c r="Z204" s="19">
        <f t="shared" si="142"/>
        <v>-0.60588570301106837</v>
      </c>
    </row>
    <row r="205" spans="1:26" x14ac:dyDescent="0.3">
      <c r="A205" s="9"/>
      <c r="B205" s="10"/>
      <c r="C205" s="10"/>
      <c r="D205" s="3"/>
      <c r="E205" s="3"/>
      <c r="F205" s="6"/>
      <c r="G205" s="3"/>
      <c r="H205" s="3"/>
      <c r="I205" s="3"/>
      <c r="J205" s="6"/>
      <c r="K205" s="3"/>
      <c r="L205" s="3"/>
      <c r="M205" s="3"/>
      <c r="N205" s="6"/>
      <c r="O205" s="10"/>
      <c r="P205" s="3"/>
      <c r="Q205" s="3"/>
      <c r="R205" s="6"/>
      <c r="S205" s="3"/>
      <c r="T205" s="3"/>
      <c r="U205" s="3"/>
      <c r="V205" s="6"/>
      <c r="W205" s="3"/>
      <c r="X205" s="3"/>
      <c r="Y205" s="3"/>
      <c r="Z205" s="6"/>
    </row>
    <row r="206" spans="1:26" s="23" customFormat="1" x14ac:dyDescent="0.3">
      <c r="A206" s="10"/>
      <c r="B206" s="25" t="s">
        <v>276</v>
      </c>
      <c r="C206" s="25"/>
      <c r="D206" s="20">
        <f>+D111-D113+D200</f>
        <v>300187.22999999986</v>
      </c>
      <c r="E206" s="13"/>
      <c r="F206" s="22">
        <f>IF(D$12=0,0,D206/D$12)</f>
        <v>0.1975618384165122</v>
      </c>
      <c r="G206" s="13"/>
      <c r="H206" s="20">
        <f>+H111-H113+H200</f>
        <v>321534.3600000001</v>
      </c>
      <c r="I206" s="13"/>
      <c r="J206" s="22">
        <f>IF(H$12=0,0,H206/H$12)</f>
        <v>0.20122142936795859</v>
      </c>
      <c r="K206" s="15"/>
      <c r="L206" s="20">
        <f>+D206-H206</f>
        <v>-21347.130000000237</v>
      </c>
      <c r="M206" s="15"/>
      <c r="N206" s="22">
        <f>IF(H206=0,0,L206/H206)</f>
        <v>-6.6391442581751545E-2</v>
      </c>
      <c r="O206" s="26"/>
      <c r="P206" s="20">
        <f>+P111-P113+P200</f>
        <v>57544.629999999946</v>
      </c>
      <c r="Q206" s="13"/>
      <c r="R206" s="22">
        <f>IF(P$12=0,0,P206/P$12)</f>
        <v>3.3072428348133308E-2</v>
      </c>
      <c r="S206" s="13"/>
      <c r="T206" s="20">
        <f>+T111-T113+T200</f>
        <v>252029.87999999998</v>
      </c>
      <c r="U206" s="13"/>
      <c r="V206" s="22">
        <f>IF(T$12=0,0,T206/T$12)</f>
        <v>0.13805466224450394</v>
      </c>
      <c r="W206" s="15"/>
      <c r="X206" s="20">
        <f>+P206-T206</f>
        <v>-194485.25000000003</v>
      </c>
      <c r="Y206" s="15"/>
      <c r="Z206" s="22">
        <f>IF(T206=0,0,X206/T206)</f>
        <v>-0.77167536642877443</v>
      </c>
    </row>
    <row r="207" spans="1:26" x14ac:dyDescent="0.3">
      <c r="A207" s="9"/>
      <c r="B207" s="10"/>
      <c r="C207" s="9"/>
      <c r="D207" s="3"/>
      <c r="E207" s="3"/>
      <c r="F207" s="6"/>
      <c r="G207" s="3"/>
      <c r="H207" s="3"/>
      <c r="I207" s="3"/>
      <c r="J207" s="6"/>
      <c r="K207" s="3"/>
      <c r="L207" s="3"/>
      <c r="M207" s="3"/>
      <c r="N207" s="6"/>
      <c r="P207" s="3"/>
      <c r="Q207" s="3"/>
      <c r="R207" s="6"/>
      <c r="S207" s="3"/>
      <c r="T207" s="3"/>
      <c r="U207" s="3"/>
      <c r="V207" s="6"/>
      <c r="W207" s="3"/>
      <c r="X207" s="3"/>
      <c r="Y207" s="3"/>
      <c r="Z207" s="6"/>
    </row>
    <row r="208" spans="1:26" s="23" customFormat="1" x14ac:dyDescent="0.3">
      <c r="A208" s="51"/>
      <c r="B208" s="10" t="s">
        <v>127</v>
      </c>
      <c r="C208" s="10"/>
      <c r="D208" s="4">
        <v>158137.92000000001</v>
      </c>
      <c r="E208" s="4"/>
      <c r="F208" s="12">
        <f>IF(D$12=0,0,D208/D$12)</f>
        <v>0.10407510738735738</v>
      </c>
      <c r="G208" s="4"/>
      <c r="H208" s="4">
        <v>193571.74</v>
      </c>
      <c r="I208" s="4"/>
      <c r="J208" s="12">
        <f>IF(H$12=0,0,H208/H$12)</f>
        <v>0.12114034160468209</v>
      </c>
      <c r="K208" s="4"/>
      <c r="L208" s="4">
        <f>+D208-H208</f>
        <v>-35433.819999999978</v>
      </c>
      <c r="M208" s="4"/>
      <c r="N208" s="12">
        <f>IF(H208=0,0,L208/H208)</f>
        <v>-0.18305265014407568</v>
      </c>
      <c r="O208" s="10"/>
      <c r="P208" s="4">
        <v>260007.19</v>
      </c>
      <c r="Q208" s="4"/>
      <c r="R208" s="12">
        <f>IF(P$12=0,0,P208/P$12)</f>
        <v>0.14943304286211398</v>
      </c>
      <c r="S208" s="4"/>
      <c r="T208" s="4">
        <v>308224.99</v>
      </c>
      <c r="U208" s="4"/>
      <c r="V208" s="12">
        <f>IF(T$12=0,0,T208/T$12)</f>
        <v>0.16883671447911497</v>
      </c>
      <c r="W208" s="4"/>
      <c r="X208" s="4">
        <f>+P208-T208</f>
        <v>-48217.799999999988</v>
      </c>
      <c r="Y208" s="4"/>
      <c r="Z208" s="12">
        <f>IF(T208=0,0,X208/T208)</f>
        <v>-0.15643702348729085</v>
      </c>
    </row>
    <row r="209" spans="1:26" x14ac:dyDescent="0.3">
      <c r="A209" s="9"/>
      <c r="B209" s="10"/>
      <c r="C209" s="10"/>
      <c r="D209" s="3"/>
      <c r="E209" s="3"/>
      <c r="F209" s="6"/>
      <c r="G209" s="3"/>
      <c r="H209" s="3"/>
      <c r="I209" s="3"/>
      <c r="J209" s="6"/>
      <c r="K209" s="3"/>
      <c r="L209" s="3"/>
      <c r="M209" s="3"/>
      <c r="N209" s="6"/>
      <c r="O209" s="10"/>
      <c r="P209" s="3"/>
      <c r="Q209" s="3"/>
      <c r="R209" s="6"/>
      <c r="S209" s="3"/>
      <c r="T209" s="3"/>
      <c r="U209" s="3"/>
      <c r="V209" s="6"/>
      <c r="W209" s="3"/>
      <c r="X209" s="3"/>
      <c r="Y209" s="3"/>
      <c r="Z209" s="6"/>
    </row>
    <row r="210" spans="1:26" s="23" customFormat="1" ht="15" thickBot="1" x14ac:dyDescent="0.35">
      <c r="A210" s="10"/>
      <c r="B210" s="25" t="s">
        <v>125</v>
      </c>
      <c r="C210" s="25"/>
      <c r="D210" s="33">
        <f>+D206-D208</f>
        <v>142049.30999999985</v>
      </c>
      <c r="E210" s="13"/>
      <c r="F210" s="36">
        <f>IF(D$12=0,0,D210/D$12)</f>
        <v>9.3486731029154821E-2</v>
      </c>
      <c r="G210" s="13"/>
      <c r="H210" s="33">
        <f>+H206-H208</f>
        <v>127962.62000000011</v>
      </c>
      <c r="I210" s="13"/>
      <c r="J210" s="36">
        <f>IF(H$12=0,0,H210/H$12)</f>
        <v>8.0081087763276493E-2</v>
      </c>
      <c r="K210" s="15"/>
      <c r="L210" s="33">
        <f>D210-H210</f>
        <v>14086.68999999974</v>
      </c>
      <c r="M210" s="15"/>
      <c r="N210" s="36">
        <f>IF(H210=0,0,L210/H210)</f>
        <v>0.11008441371394027</v>
      </c>
      <c r="O210" s="26"/>
      <c r="P210" s="33">
        <f>+P206-P208</f>
        <v>-202462.56000000006</v>
      </c>
      <c r="Q210" s="13"/>
      <c r="R210" s="36">
        <f>IF(P$12=0,0,P210/P$12)</f>
        <v>-0.11636061451398069</v>
      </c>
      <c r="S210" s="13"/>
      <c r="T210" s="33">
        <f>+T206-T208</f>
        <v>-56195.110000000015</v>
      </c>
      <c r="U210" s="13"/>
      <c r="V210" s="36">
        <f>IF(T$12=0,0,T210/T$12)</f>
        <v>-3.0782052234611029E-2</v>
      </c>
      <c r="W210" s="15"/>
      <c r="X210" s="33">
        <f>P210-T210</f>
        <v>-146267.45000000004</v>
      </c>
      <c r="Y210" s="15"/>
      <c r="Z210" s="36">
        <f>IF(T210=0,0,X210/T210)</f>
        <v>2.60285014123115</v>
      </c>
    </row>
    <row r="211" spans="1:26" ht="15" thickTop="1" x14ac:dyDescent="0.3">
      <c r="A211" s="9"/>
      <c r="B211" s="9"/>
      <c r="C211" s="9"/>
      <c r="D211" s="3"/>
      <c r="E211" s="3"/>
      <c r="F211" s="6"/>
      <c r="G211" s="3"/>
      <c r="H211" s="3"/>
      <c r="I211" s="3"/>
      <c r="J211" s="6"/>
      <c r="K211" s="3"/>
      <c r="L211" s="3"/>
      <c r="M211" s="3"/>
      <c r="N211" s="6"/>
      <c r="P211" s="3"/>
      <c r="Q211" s="3"/>
      <c r="R211" s="6"/>
      <c r="S211" s="3"/>
      <c r="T211" s="3"/>
      <c r="U211" s="3"/>
      <c r="V211" s="6"/>
      <c r="W211" s="3"/>
      <c r="X211" s="3"/>
      <c r="Y211" s="3"/>
      <c r="Z211" s="6"/>
    </row>
    <row r="212" spans="1:26" x14ac:dyDescent="0.3">
      <c r="A212" s="9"/>
      <c r="B212" s="9"/>
      <c r="C212" s="9"/>
      <c r="D212" s="3"/>
      <c r="E212" s="3"/>
      <c r="F212" s="6"/>
      <c r="G212" s="3"/>
      <c r="H212" s="3"/>
      <c r="I212" s="3"/>
      <c r="J212" s="6"/>
      <c r="K212" s="3"/>
      <c r="L212" s="3"/>
      <c r="M212" s="3"/>
      <c r="N212" s="6"/>
      <c r="P212" s="3"/>
      <c r="Q212" s="3"/>
      <c r="R212" s="6"/>
      <c r="S212" s="3"/>
      <c r="T212" s="3"/>
      <c r="U212" s="3"/>
      <c r="V212" s="6"/>
      <c r="W212" s="3"/>
      <c r="X212" s="3"/>
      <c r="Y212" s="3"/>
      <c r="Z212" s="6"/>
    </row>
    <row r="213" spans="1:26" s="23" customFormat="1" ht="15" thickBot="1" x14ac:dyDescent="0.35">
      <c r="A213" s="10"/>
      <c r="B213" s="25" t="s">
        <v>293</v>
      </c>
      <c r="C213" s="25"/>
      <c r="D213" s="30">
        <f>SUM(D210:D212)</f>
        <v>142049.30999999985</v>
      </c>
      <c r="E213" s="13"/>
      <c r="F213" s="31">
        <f>IF(D$12=0,0,D213/D$12)</f>
        <v>9.3486731029154821E-2</v>
      </c>
      <c r="G213" s="13"/>
      <c r="H213" s="30">
        <f>SUM(H210:H212)</f>
        <v>127962.62000000011</v>
      </c>
      <c r="I213" s="13"/>
      <c r="J213" s="31">
        <f>IF(H$12=0,0,H213/H$12)</f>
        <v>8.0081087763276493E-2</v>
      </c>
      <c r="K213" s="15"/>
      <c r="L213" s="30">
        <f>+D213-H213</f>
        <v>14086.68999999974</v>
      </c>
      <c r="M213" s="15"/>
      <c r="N213" s="31">
        <f>IF(H213=0,0,L213/H213)</f>
        <v>0.11008441371394027</v>
      </c>
      <c r="O213" s="26"/>
      <c r="P213" s="30">
        <f>SUM(P210:P212)</f>
        <v>-202462.56000000006</v>
      </c>
      <c r="Q213" s="13"/>
      <c r="R213" s="31">
        <f>IF(P$12=0,0,P213/P$12)</f>
        <v>-0.11636061451398069</v>
      </c>
      <c r="S213" s="13"/>
      <c r="T213" s="30">
        <f>SUM(T210:T212)</f>
        <v>-56195.110000000015</v>
      </c>
      <c r="U213" s="13"/>
      <c r="V213" s="31">
        <f>IF(T$12=0,0,T213/T$12)</f>
        <v>-3.0782052234611029E-2</v>
      </c>
      <c r="W213" s="15"/>
      <c r="X213" s="30">
        <f>+P213-T213</f>
        <v>-146267.45000000004</v>
      </c>
      <c r="Y213" s="15"/>
      <c r="Z213" s="31">
        <f>IF(T213=0,0,X213/T213)</f>
        <v>2.60285014123115</v>
      </c>
    </row>
    <row r="214" spans="1:26" ht="15" thickTop="1" x14ac:dyDescent="0.3">
      <c r="A214" s="9"/>
      <c r="C214" s="9"/>
      <c r="D214" s="17"/>
      <c r="E214" s="17"/>
      <c r="G214" s="17"/>
      <c r="H214" s="17"/>
      <c r="I214" s="17"/>
      <c r="J214" s="43"/>
      <c r="K214" s="17"/>
      <c r="L214" s="17"/>
      <c r="M214" s="17"/>
      <c r="P214" s="17"/>
      <c r="Q214" s="17"/>
      <c r="R214" s="43"/>
      <c r="S214" s="17"/>
      <c r="T214" s="17"/>
      <c r="U214" s="17"/>
      <c r="V214" s="43"/>
      <c r="W214" s="17"/>
      <c r="X214" s="17"/>
    </row>
    <row r="215" spans="1:26" x14ac:dyDescent="0.3">
      <c r="A215" s="9"/>
      <c r="B215" s="59">
        <v>44470.840523495368</v>
      </c>
      <c r="D215" s="17"/>
      <c r="E215" s="17"/>
      <c r="G215" s="17"/>
      <c r="H215" s="17"/>
      <c r="I215" s="17"/>
      <c r="J215" s="43"/>
      <c r="K215" s="17"/>
      <c r="L215" s="17"/>
      <c r="M215" s="17"/>
      <c r="P215" s="17"/>
      <c r="Q215" s="17"/>
      <c r="R215" s="43"/>
      <c r="S215" s="17"/>
      <c r="T215" s="17"/>
      <c r="U215" s="17"/>
      <c r="V215" s="43"/>
      <c r="W215" s="17"/>
      <c r="X215" s="17"/>
    </row>
    <row r="216" spans="1:26" x14ac:dyDescent="0.3">
      <c r="A216" s="9"/>
      <c r="B216" s="58" t="s">
        <v>56</v>
      </c>
      <c r="D216" s="17"/>
      <c r="E216" s="17"/>
      <c r="G216" s="17"/>
      <c r="H216" s="17"/>
      <c r="I216" s="17"/>
      <c r="J216" s="43"/>
      <c r="K216" s="17"/>
      <c r="L216" s="17"/>
      <c r="M216" s="17"/>
      <c r="P216" s="17"/>
      <c r="Q216" s="17"/>
      <c r="R216" s="43"/>
      <c r="S216" s="17"/>
      <c r="T216" s="17"/>
      <c r="U216" s="17"/>
      <c r="V216" s="43"/>
      <c r="W216" s="17"/>
      <c r="X216" s="17"/>
    </row>
    <row r="217" spans="1:26" x14ac:dyDescent="0.3">
      <c r="A217" s="9"/>
      <c r="B217" s="52"/>
      <c r="D217" s="17"/>
      <c r="E217" s="17"/>
      <c r="G217" s="17"/>
      <c r="H217" s="17"/>
      <c r="I217" s="17"/>
      <c r="J217" s="43"/>
      <c r="K217" s="17"/>
      <c r="L217" s="17"/>
      <c r="M217" s="17"/>
      <c r="P217" s="17"/>
      <c r="Q217" s="17"/>
      <c r="R217" s="43"/>
      <c r="S217" s="17"/>
      <c r="T217" s="17"/>
      <c r="U217" s="17"/>
      <c r="V217" s="43"/>
      <c r="W217" s="17"/>
      <c r="X217" s="17"/>
    </row>
    <row r="218" spans="1:26" x14ac:dyDescent="0.3">
      <c r="D218" s="17"/>
      <c r="E218" s="17"/>
      <c r="G218" s="17"/>
      <c r="H218" s="17"/>
      <c r="I218" s="17"/>
      <c r="J218" s="43"/>
      <c r="K218" s="17"/>
      <c r="L218" s="17"/>
      <c r="M218" s="17"/>
      <c r="P218" s="17"/>
      <c r="Q218" s="17"/>
      <c r="R218" s="43"/>
      <c r="S218" s="17"/>
      <c r="T218" s="17"/>
      <c r="U218" s="17"/>
      <c r="V218" s="43"/>
      <c r="W218" s="17"/>
      <c r="X218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1512794.4499999997</v>
      </c>
      <c r="E12" s="4"/>
      <c r="F12" s="12"/>
      <c r="G12" s="4"/>
      <c r="H12" s="4">
        <f>SUM(OSRRefH13x_0)</f>
        <v>1597089.1100000003</v>
      </c>
      <c r="I12" s="4"/>
      <c r="J12" s="12"/>
      <c r="K12" s="4"/>
      <c r="L12" s="4">
        <f t="shared" ref="L12:L71" si="0">+D12-H12</f>
        <v>-84294.660000000615</v>
      </c>
      <c r="M12" s="4"/>
      <c r="N12" s="12">
        <f t="shared" ref="N12:N71" si="1">IF(H12=0,0,L12/H12)</f>
        <v>-5.2780185821942396E-2</v>
      </c>
      <c r="O12" s="10"/>
      <c r="P12" s="4">
        <f>SUM(OSRRefP13x_0)</f>
        <v>1733292.67</v>
      </c>
      <c r="Q12" s="4"/>
      <c r="R12" s="12"/>
      <c r="S12" s="4"/>
      <c r="T12" s="4">
        <f>SUM(OSRRefT13x_0)</f>
        <v>1824756.3600000003</v>
      </c>
      <c r="U12" s="4"/>
      <c r="V12" s="12"/>
      <c r="W12" s="4"/>
      <c r="X12" s="4">
        <f t="shared" ref="X12:X71" si="2">+P12-T12</f>
        <v>-91463.69000000041</v>
      </c>
      <c r="Y12" s="4"/>
      <c r="Z12" s="12">
        <f t="shared" ref="Z12:Z71" si="3">IF(T12=0,0,X12/T12)</f>
        <v>-5.0123782004519439E-2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--1219418.38</f>
        <v>1219418.3799999999</v>
      </c>
      <c r="E13" s="2"/>
      <c r="F13" s="19"/>
      <c r="G13" s="2"/>
      <c r="H13" s="2">
        <f>-17230.39</f>
        <v>-17230.39</v>
      </c>
      <c r="I13" s="2"/>
      <c r="J13" s="19"/>
      <c r="K13" s="2"/>
      <c r="L13" s="2">
        <f t="shared" si="0"/>
        <v>1236648.7699999998</v>
      </c>
      <c r="M13" s="2"/>
      <c r="N13" s="19">
        <f t="shared" si="1"/>
        <v>-71.771374298550398</v>
      </c>
      <c r="O13" s="11"/>
      <c r="P13" s="2">
        <f>--1407466.71</f>
        <v>1407466.71</v>
      </c>
      <c r="Q13" s="2"/>
      <c r="R13" s="19"/>
      <c r="S13" s="2"/>
      <c r="T13" s="2">
        <f>-27953.85</f>
        <v>-27953.85</v>
      </c>
      <c r="U13" s="2"/>
      <c r="V13" s="19"/>
      <c r="W13" s="2"/>
      <c r="X13" s="2">
        <f t="shared" si="2"/>
        <v>1435420.56</v>
      </c>
      <c r="Y13" s="2"/>
      <c r="Z13" s="19">
        <f t="shared" si="3"/>
        <v>-51.349655235325372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1" si="4">0</f>
        <v>0</v>
      </c>
      <c r="E14" s="2"/>
      <c r="F14" s="19"/>
      <c r="G14" s="2"/>
      <c r="H14" s="2">
        <f>--572249.47</f>
        <v>572249.47</v>
      </c>
      <c r="I14" s="2"/>
      <c r="J14" s="19"/>
      <c r="K14" s="2"/>
      <c r="L14" s="2">
        <f t="shared" si="0"/>
        <v>-572249.47</v>
      </c>
      <c r="M14" s="2"/>
      <c r="N14" s="19">
        <f t="shared" si="1"/>
        <v>-1</v>
      </c>
      <c r="O14" s="11"/>
      <c r="P14" s="2">
        <f t="shared" ref="P14:P31" si="5">0</f>
        <v>0</v>
      </c>
      <c r="Q14" s="2"/>
      <c r="R14" s="19"/>
      <c r="S14" s="2"/>
      <c r="T14" s="2">
        <f>--584197.32</f>
        <v>584197.31999999995</v>
      </c>
      <c r="U14" s="2"/>
      <c r="V14" s="19"/>
      <c r="W14" s="2"/>
      <c r="X14" s="2">
        <f t="shared" si="2"/>
        <v>-584197.31999999995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--265582.82</f>
        <v>265582.82</v>
      </c>
      <c r="I15" s="2"/>
      <c r="J15" s="19"/>
      <c r="K15" s="2"/>
      <c r="L15" s="2">
        <f t="shared" si="0"/>
        <v>-265582.82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--278612.16</f>
        <v>278612.15999999997</v>
      </c>
      <c r="U15" s="2"/>
      <c r="V15" s="19"/>
      <c r="W15" s="2"/>
      <c r="X15" s="2">
        <f t="shared" si="2"/>
        <v>-278612.15999999997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>
        <f>--236.56</f>
        <v>236.56</v>
      </c>
      <c r="U21" s="2"/>
      <c r="V21" s="19"/>
      <c r="W21" s="2"/>
      <c r="X21" s="2">
        <f t="shared" si="2"/>
        <v>-236.56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--20247.89</f>
        <v>20247.89</v>
      </c>
      <c r="I22" s="2"/>
      <c r="J22" s="19"/>
      <c r="K22" s="2"/>
      <c r="L22" s="2">
        <f t="shared" si="0"/>
        <v>-20247.89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--21901.06</f>
        <v>21901.06</v>
      </c>
      <c r="U22" s="2"/>
      <c r="V22" s="19"/>
      <c r="W22" s="2"/>
      <c r="X22" s="2">
        <f t="shared" si="2"/>
        <v>-21901.06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--9671.25</f>
        <v>9671.25</v>
      </c>
      <c r="I23" s="2"/>
      <c r="J23" s="19"/>
      <c r="K23" s="2"/>
      <c r="L23" s="2">
        <f t="shared" si="0"/>
        <v>-9671.25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--9691.1</f>
        <v>9691.1</v>
      </c>
      <c r="U23" s="2"/>
      <c r="V23" s="19"/>
      <c r="W23" s="2"/>
      <c r="X23" s="2">
        <f t="shared" si="2"/>
        <v>-9691.1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--532.51</f>
        <v>532.51</v>
      </c>
      <c r="I24" s="2"/>
      <c r="J24" s="19"/>
      <c r="K24" s="2"/>
      <c r="L24" s="2">
        <f t="shared" si="0"/>
        <v>-532.51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--552.26</f>
        <v>552.26</v>
      </c>
      <c r="U24" s="2"/>
      <c r="V24" s="19"/>
      <c r="W24" s="2"/>
      <c r="X24" s="2">
        <f t="shared" si="2"/>
        <v>-552.26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--177286.09</f>
        <v>177286.09</v>
      </c>
      <c r="I26" s="2"/>
      <c r="J26" s="19"/>
      <c r="K26" s="2"/>
      <c r="L26" s="2">
        <f t="shared" si="0"/>
        <v>-177286.09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--249578.35</f>
        <v>249578.35</v>
      </c>
      <c r="U26" s="2"/>
      <c r="V26" s="19"/>
      <c r="W26" s="2"/>
      <c r="X26" s="2">
        <f t="shared" si="2"/>
        <v>-249578.35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--82120.65</f>
        <v>82120.649999999994</v>
      </c>
      <c r="I27" s="2"/>
      <c r="J27" s="19"/>
      <c r="K27" s="2"/>
      <c r="L27" s="2">
        <f t="shared" si="0"/>
        <v>-82120.649999999994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--103309.56</f>
        <v>103309.56</v>
      </c>
      <c r="U27" s="2"/>
      <c r="V27" s="19"/>
      <c r="W27" s="2"/>
      <c r="X27" s="2">
        <f t="shared" si="2"/>
        <v>-103309.56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--30421.14</f>
        <v>30421.14</v>
      </c>
      <c r="I28" s="2"/>
      <c r="J28" s="19"/>
      <c r="K28" s="2"/>
      <c r="L28" s="2">
        <f t="shared" si="0"/>
        <v>-30421.14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--39925.04</f>
        <v>39925.040000000001</v>
      </c>
      <c r="U28" s="2"/>
      <c r="V28" s="19"/>
      <c r="W28" s="2"/>
      <c r="X28" s="2">
        <f t="shared" si="2"/>
        <v>-39925.040000000001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--6768.27</f>
        <v>6768.27</v>
      </c>
      <c r="I29" s="2"/>
      <c r="J29" s="19"/>
      <c r="K29" s="2"/>
      <c r="L29" s="2">
        <f t="shared" si="0"/>
        <v>-6768.27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--6985.63</f>
        <v>6985.63</v>
      </c>
      <c r="U29" s="2"/>
      <c r="V29" s="19"/>
      <c r="W29" s="2"/>
      <c r="X29" s="2">
        <f t="shared" si="2"/>
        <v>-6985.63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--6568.52</f>
        <v>6568.52</v>
      </c>
      <c r="I30" s="2"/>
      <c r="J30" s="19"/>
      <c r="K30" s="2"/>
      <c r="L30" s="2">
        <f t="shared" si="0"/>
        <v>-6568.52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--8369.2</f>
        <v>8369.2000000000007</v>
      </c>
      <c r="U30" s="2"/>
      <c r="V30" s="19"/>
      <c r="W30" s="2"/>
      <c r="X30" s="2">
        <f t="shared" si="2"/>
        <v>-8369.2000000000007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--46004.35</f>
        <v>46004.35</v>
      </c>
      <c r="I31" s="2"/>
      <c r="J31" s="19"/>
      <c r="K31" s="2"/>
      <c r="L31" s="2">
        <f t="shared" si="0"/>
        <v>-46004.35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--89431.08</f>
        <v>89431.08</v>
      </c>
      <c r="U31" s="2"/>
      <c r="V31" s="19"/>
      <c r="W31" s="2"/>
      <c r="X31" s="2">
        <f t="shared" si="2"/>
        <v>-89431.08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"4100", " - ", "NON-TAXABLE SALES")</f>
        <v xml:space="preserve">          4100 - NON-TAXABLE SALES</v>
      </c>
      <c r="C32" s="11"/>
      <c r="D32" s="2">
        <f>--326801.82</f>
        <v>326801.82</v>
      </c>
      <c r="E32" s="2"/>
      <c r="F32" s="19"/>
      <c r="G32" s="2"/>
      <c r="H32" s="2">
        <f>--150360.03</f>
        <v>150360.03</v>
      </c>
      <c r="I32" s="2"/>
      <c r="J32" s="19"/>
      <c r="K32" s="2"/>
      <c r="L32" s="2">
        <f t="shared" si="0"/>
        <v>176441.79</v>
      </c>
      <c r="M32" s="2"/>
      <c r="N32" s="19">
        <f t="shared" si="1"/>
        <v>1.1734620563722953</v>
      </c>
      <c r="O32" s="11"/>
      <c r="P32" s="2">
        <f>--365900.36</f>
        <v>365900.36</v>
      </c>
      <c r="Q32" s="2"/>
      <c r="R32" s="19"/>
      <c r="S32" s="2"/>
      <c r="T32" s="2">
        <f>--153398.33</f>
        <v>153398.32999999999</v>
      </c>
      <c r="U32" s="2"/>
      <c r="V32" s="19"/>
      <c r="W32" s="2"/>
      <c r="X32" s="2">
        <f t="shared" si="2"/>
        <v>212502.03</v>
      </c>
      <c r="Y32" s="2"/>
      <c r="Z32" s="19">
        <f t="shared" si="3"/>
        <v>1.3852955895934462</v>
      </c>
    </row>
    <row r="33" spans="1:26" s="24" customFormat="1" hidden="1" outlineLevel="1" x14ac:dyDescent="0.3">
      <c r="A33" s="44"/>
      <c r="B33" s="11" t="str">
        <f>CONCATENATE("          ", "4101", " - ", "NON-TAXABLE SALES-NEW TEXT")</f>
        <v xml:space="preserve">          4101 - NON-TAXABLE SALES-NEW TEXT</v>
      </c>
      <c r="C33" s="11"/>
      <c r="D33" s="2">
        <f t="shared" ref="D33:D44" si="6">0</f>
        <v>0</v>
      </c>
      <c r="E33" s="2"/>
      <c r="F33" s="19"/>
      <c r="G33" s="2"/>
      <c r="H33" s="2">
        <f>--41238.82</f>
        <v>41238.82</v>
      </c>
      <c r="I33" s="2"/>
      <c r="J33" s="19"/>
      <c r="K33" s="2"/>
      <c r="L33" s="2">
        <f t="shared" si="0"/>
        <v>-41238.82</v>
      </c>
      <c r="M33" s="2"/>
      <c r="N33" s="19">
        <f t="shared" si="1"/>
        <v>-1</v>
      </c>
      <c r="O33" s="11"/>
      <c r="P33" s="2">
        <f t="shared" ref="P33:P44" si="7">0</f>
        <v>0</v>
      </c>
      <c r="Q33" s="2"/>
      <c r="R33" s="19"/>
      <c r="S33" s="2"/>
      <c r="T33" s="2">
        <f>--51580.68</f>
        <v>51580.68</v>
      </c>
      <c r="U33" s="2"/>
      <c r="V33" s="19"/>
      <c r="W33" s="2"/>
      <c r="X33" s="2">
        <f t="shared" si="2"/>
        <v>-51580.68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"4102", " - ", "NON-TAXABLE SALES-USED TEXT")</f>
        <v xml:space="preserve">          4102 - NON-TAXABLE SALES-USED TEXT</v>
      </c>
      <c r="C34" s="11"/>
      <c r="D34" s="2">
        <f t="shared" si="6"/>
        <v>0</v>
      </c>
      <c r="E34" s="2"/>
      <c r="F34" s="19"/>
      <c r="G34" s="2"/>
      <c r="H34" s="2">
        <f>--17373.3</f>
        <v>17373.3</v>
      </c>
      <c r="I34" s="2"/>
      <c r="J34" s="19"/>
      <c r="K34" s="2"/>
      <c r="L34" s="2">
        <f t="shared" si="0"/>
        <v>-17373.3</v>
      </c>
      <c r="M34" s="2"/>
      <c r="N34" s="19">
        <f t="shared" si="1"/>
        <v>-1</v>
      </c>
      <c r="O34" s="11"/>
      <c r="P34" s="2">
        <f t="shared" si="7"/>
        <v>0</v>
      </c>
      <c r="Q34" s="2"/>
      <c r="R34" s="19"/>
      <c r="S34" s="2"/>
      <c r="T34" s="2">
        <f>--21563.74</f>
        <v>21563.74</v>
      </c>
      <c r="U34" s="2"/>
      <c r="V34" s="19"/>
      <c r="W34" s="2"/>
      <c r="X34" s="2">
        <f t="shared" si="2"/>
        <v>-21563.74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"4104", " - ", "NON-TAXABLE SALES-DIGITAL TEXT")</f>
        <v xml:space="preserve">          4104 - NON-TAXABLE SALES-DIGITAL TEXT</v>
      </c>
      <c r="C35" s="11"/>
      <c r="D35" s="2">
        <f t="shared" si="6"/>
        <v>0</v>
      </c>
      <c r="E35" s="2"/>
      <c r="F35" s="19"/>
      <c r="G35" s="2"/>
      <c r="H35" s="2">
        <f>--205404.66</f>
        <v>205404.66</v>
      </c>
      <c r="I35" s="2"/>
      <c r="J35" s="19"/>
      <c r="K35" s="2"/>
      <c r="L35" s="2">
        <f t="shared" si="0"/>
        <v>-205404.66</v>
      </c>
      <c r="M35" s="2"/>
      <c r="N35" s="19">
        <f t="shared" si="1"/>
        <v>-1</v>
      </c>
      <c r="O35" s="11"/>
      <c r="P35" s="2">
        <f t="shared" si="7"/>
        <v>0</v>
      </c>
      <c r="Q35" s="2"/>
      <c r="R35" s="19"/>
      <c r="S35" s="2"/>
      <c r="T35" s="2">
        <f>--212890.18</f>
        <v>212890.18</v>
      </c>
      <c r="U35" s="2"/>
      <c r="V35" s="19"/>
      <c r="W35" s="2"/>
      <c r="X35" s="2">
        <f t="shared" si="2"/>
        <v>-212890.18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"4118", " - ", "NON-TAXABLE SALES-STUDY GUIDES")</f>
        <v xml:space="preserve">          4118 - NON-TAXABLE SALES-STUDY GUIDES</v>
      </c>
      <c r="C36" s="11"/>
      <c r="D36" s="2">
        <f t="shared" si="6"/>
        <v>0</v>
      </c>
      <c r="E36" s="2"/>
      <c r="F36" s="19"/>
      <c r="G36" s="2"/>
      <c r="H36" s="2">
        <f>--47.87</f>
        <v>47.87</v>
      </c>
      <c r="I36" s="2"/>
      <c r="J36" s="19"/>
      <c r="K36" s="2"/>
      <c r="L36" s="2">
        <f t="shared" si="0"/>
        <v>-47.87</v>
      </c>
      <c r="M36" s="2"/>
      <c r="N36" s="19">
        <f t="shared" si="1"/>
        <v>-1</v>
      </c>
      <c r="O36" s="11"/>
      <c r="P36" s="2">
        <f t="shared" si="7"/>
        <v>0</v>
      </c>
      <c r="Q36" s="2"/>
      <c r="R36" s="19"/>
      <c r="S36" s="2"/>
      <c r="T36" s="2">
        <f>--101.83</f>
        <v>101.83</v>
      </c>
      <c r="U36" s="2"/>
      <c r="V36" s="19"/>
      <c r="W36" s="2"/>
      <c r="X36" s="2">
        <f t="shared" si="2"/>
        <v>-101.83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"4126", " - ", "NON-TAXABLE SALES-WRITING INST")</f>
        <v xml:space="preserve">          4126 - NON-TAXABLE SALES-WRITING INST</v>
      </c>
      <c r="C37" s="11"/>
      <c r="D37" s="2">
        <f t="shared" si="6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7"/>
        <v>0</v>
      </c>
      <c r="Q37" s="2"/>
      <c r="R37" s="19"/>
      <c r="S37" s="2"/>
      <c r="T37" s="2">
        <f>--52.68</f>
        <v>52.68</v>
      </c>
      <c r="U37" s="2"/>
      <c r="V37" s="19"/>
      <c r="W37" s="2"/>
      <c r="X37" s="2">
        <f t="shared" si="2"/>
        <v>-52.68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"4127", " - ", "NON-TAXABLE SALES-SCHOOL SUPPL")</f>
        <v xml:space="preserve">          4127 - NON-TAXABLE SALES-SCHOOL SUPPL</v>
      </c>
      <c r="C38" s="11"/>
      <c r="D38" s="2">
        <f t="shared" si="6"/>
        <v>0</v>
      </c>
      <c r="E38" s="2"/>
      <c r="F38" s="19"/>
      <c r="G38" s="2"/>
      <c r="H38" s="2">
        <f>--1788.16</f>
        <v>1788.16</v>
      </c>
      <c r="I38" s="2"/>
      <c r="J38" s="19"/>
      <c r="K38" s="2"/>
      <c r="L38" s="2">
        <f t="shared" si="0"/>
        <v>-1788.16</v>
      </c>
      <c r="M38" s="2"/>
      <c r="N38" s="19">
        <f t="shared" si="1"/>
        <v>-1</v>
      </c>
      <c r="O38" s="11"/>
      <c r="P38" s="2">
        <f t="shared" si="7"/>
        <v>0</v>
      </c>
      <c r="Q38" s="2"/>
      <c r="R38" s="19"/>
      <c r="S38" s="2"/>
      <c r="T38" s="2">
        <f>--1860.41</f>
        <v>1860.41</v>
      </c>
      <c r="U38" s="2"/>
      <c r="V38" s="19"/>
      <c r="W38" s="2"/>
      <c r="X38" s="2">
        <f t="shared" si="2"/>
        <v>-1860.41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"4131", " - ", "NON-TAXABLE SALES-FOOD")</f>
        <v xml:space="preserve">          4131 - NON-TAXABLE SALES-FOOD</v>
      </c>
      <c r="C39" s="11"/>
      <c r="D39" s="2">
        <f t="shared" si="6"/>
        <v>0</v>
      </c>
      <c r="E39" s="2"/>
      <c r="F39" s="19"/>
      <c r="G39" s="2"/>
      <c r="H39" s="2">
        <f>--1575.79</f>
        <v>1575.79</v>
      </c>
      <c r="I39" s="2"/>
      <c r="J39" s="19"/>
      <c r="K39" s="2"/>
      <c r="L39" s="2">
        <f t="shared" si="0"/>
        <v>-1575.79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--1835.22</f>
        <v>1835.22</v>
      </c>
      <c r="U39" s="2"/>
      <c r="V39" s="19"/>
      <c r="W39" s="2"/>
      <c r="X39" s="2">
        <f t="shared" si="2"/>
        <v>-1835.22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"4132", " - ", "NON-TAXABLE SALES-JUICE")</f>
        <v xml:space="preserve">          4132 - NON-TAXABLE SALES-JUICE</v>
      </c>
      <c r="C40" s="11"/>
      <c r="D40" s="2">
        <f t="shared" si="6"/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7"/>
        <v>0</v>
      </c>
      <c r="Q40" s="2"/>
      <c r="R40" s="19"/>
      <c r="S40" s="2"/>
      <c r="T40" s="2">
        <f>--22.49</f>
        <v>22.49</v>
      </c>
      <c r="U40" s="2"/>
      <c r="V40" s="19"/>
      <c r="W40" s="2"/>
      <c r="X40" s="2">
        <f t="shared" si="2"/>
        <v>-22.49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"4133", " - ", "NON-TAXABLE SALES-CANDY")</f>
        <v xml:space="preserve">          4133 - NON-TAXABLE SALES-CANDY</v>
      </c>
      <c r="C41" s="11"/>
      <c r="D41" s="2">
        <f t="shared" si="6"/>
        <v>0</v>
      </c>
      <c r="E41" s="2"/>
      <c r="F41" s="19"/>
      <c r="G41" s="2"/>
      <c r="H41" s="2">
        <f>--12.43</f>
        <v>12.43</v>
      </c>
      <c r="I41" s="2"/>
      <c r="J41" s="19"/>
      <c r="K41" s="2"/>
      <c r="L41" s="2">
        <f t="shared" si="0"/>
        <v>-12.43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--80.71</f>
        <v>80.709999999999994</v>
      </c>
      <c r="U41" s="2"/>
      <c r="V41" s="19"/>
      <c r="W41" s="2"/>
      <c r="X41" s="2">
        <f t="shared" si="2"/>
        <v>-80.709999999999994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"4134", " - ", "NON-TAXABLE SALES-SODA")</f>
        <v xml:space="preserve">          4134 - NON-TAXABLE SALES-SODA</v>
      </c>
      <c r="C42" s="11"/>
      <c r="D42" s="2">
        <f t="shared" si="6"/>
        <v>0</v>
      </c>
      <c r="E42" s="2"/>
      <c r="F42" s="19"/>
      <c r="G42" s="2"/>
      <c r="H42" s="2">
        <f t="shared" ref="H42:H43" si="8"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si="7"/>
        <v>0</v>
      </c>
      <c r="Q42" s="2"/>
      <c r="R42" s="19"/>
      <c r="S42" s="2"/>
      <c r="T42" s="2">
        <f>--45.53</f>
        <v>45.53</v>
      </c>
      <c r="U42" s="2"/>
      <c r="V42" s="19"/>
      <c r="W42" s="2"/>
      <c r="X42" s="2">
        <f t="shared" si="2"/>
        <v>-45.53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"4137", " - ", "NON-TAXABLE SALES-WATER")</f>
        <v xml:space="preserve">          4137 - NON-TAXABLE SALES-WATER</v>
      </c>
      <c r="C43" s="11"/>
      <c r="D43" s="2">
        <f t="shared" si="6"/>
        <v>0</v>
      </c>
      <c r="E43" s="2"/>
      <c r="F43" s="19"/>
      <c r="G43" s="2"/>
      <c r="H43" s="2">
        <f t="shared" si="8"/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7"/>
        <v>0</v>
      </c>
      <c r="Q43" s="2"/>
      <c r="R43" s="19"/>
      <c r="S43" s="2"/>
      <c r="T43" s="2">
        <f>--68.25</f>
        <v>68.25</v>
      </c>
      <c r="U43" s="2"/>
      <c r="V43" s="19"/>
      <c r="W43" s="2"/>
      <c r="X43" s="2">
        <f t="shared" si="2"/>
        <v>-68.25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"4140", " - ", "NON-TAXABLE SALES-LOGO CLOTHIN")</f>
        <v xml:space="preserve">          4140 - NON-TAXABLE SALES-LOGO CLOTHIN</v>
      </c>
      <c r="C44" s="11"/>
      <c r="D44" s="2">
        <f t="shared" si="6"/>
        <v>0</v>
      </c>
      <c r="E44" s="2"/>
      <c r="F44" s="19"/>
      <c r="G44" s="2"/>
      <c r="H44" s="2">
        <f>--7266.5</f>
        <v>7266.5</v>
      </c>
      <c r="I44" s="2"/>
      <c r="J44" s="19"/>
      <c r="K44" s="2"/>
      <c r="L44" s="2">
        <f t="shared" si="0"/>
        <v>-7266.5</v>
      </c>
      <c r="M44" s="2"/>
      <c r="N44" s="19">
        <f t="shared" si="1"/>
        <v>-1</v>
      </c>
      <c r="O44" s="11"/>
      <c r="P44" s="2">
        <f t="shared" si="7"/>
        <v>0</v>
      </c>
      <c r="Q44" s="2"/>
      <c r="R44" s="19"/>
      <c r="S44" s="2"/>
      <c r="T44" s="2">
        <f>--14112.74</f>
        <v>14112.74</v>
      </c>
      <c r="U44" s="2"/>
      <c r="V44" s="19"/>
      <c r="W44" s="2"/>
      <c r="X44" s="2">
        <f t="shared" si="2"/>
        <v>-14112.74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"4141", " - ", "NON-TAXABLE SALES-LOGO GIFTS")</f>
        <v xml:space="preserve">          4141 - NON-TAXABLE SALES-LOGO GIFTS</v>
      </c>
      <c r="C45" s="11"/>
      <c r="D45" s="2">
        <f>--389.5</f>
        <v>389.5</v>
      </c>
      <c r="E45" s="2"/>
      <c r="F45" s="19"/>
      <c r="G45" s="2"/>
      <c r="H45" s="2">
        <f>--1189.06</f>
        <v>1189.06</v>
      </c>
      <c r="I45" s="2"/>
      <c r="J45" s="19"/>
      <c r="K45" s="2"/>
      <c r="L45" s="2">
        <f t="shared" si="0"/>
        <v>-799.56</v>
      </c>
      <c r="M45" s="2"/>
      <c r="N45" s="19">
        <f t="shared" si="1"/>
        <v>-0.6724303231123745</v>
      </c>
      <c r="O45" s="11"/>
      <c r="P45" s="2">
        <f>--389.5</f>
        <v>389.5</v>
      </c>
      <c r="Q45" s="2"/>
      <c r="R45" s="19"/>
      <c r="S45" s="2"/>
      <c r="T45" s="2">
        <f>--2389.25</f>
        <v>2389.25</v>
      </c>
      <c r="U45" s="2"/>
      <c r="V45" s="19"/>
      <c r="W45" s="2"/>
      <c r="X45" s="2">
        <f t="shared" si="2"/>
        <v>-1999.75</v>
      </c>
      <c r="Y45" s="2"/>
      <c r="Z45" s="19">
        <f t="shared" si="3"/>
        <v>-0.83697813121272369</v>
      </c>
    </row>
    <row r="46" spans="1:26" s="24" customFormat="1" hidden="1" outlineLevel="1" x14ac:dyDescent="0.3">
      <c r="A46" s="44"/>
      <c r="B46" s="11" t="str">
        <f>CONCATENATE("          ", "4142", " - ", "NON-TAXABLE SALES-EVERYDAY GIF")</f>
        <v xml:space="preserve">          4142 - NON-TAXABLE SALES-EVERYDAY GIF</v>
      </c>
      <c r="C46" s="11"/>
      <c r="D46" s="2">
        <f t="shared" ref="D46:D49" si="9">0</f>
        <v>0</v>
      </c>
      <c r="E46" s="2"/>
      <c r="F46" s="19"/>
      <c r="G46" s="2"/>
      <c r="H46" s="2">
        <f>--339.4</f>
        <v>339.4</v>
      </c>
      <c r="I46" s="2"/>
      <c r="J46" s="19"/>
      <c r="K46" s="2"/>
      <c r="L46" s="2">
        <f t="shared" si="0"/>
        <v>-339.4</v>
      </c>
      <c r="M46" s="2"/>
      <c r="N46" s="19">
        <f t="shared" si="1"/>
        <v>-1</v>
      </c>
      <c r="O46" s="11"/>
      <c r="P46" s="2">
        <f t="shared" ref="P46:P49" si="10">0</f>
        <v>0</v>
      </c>
      <c r="Q46" s="2"/>
      <c r="R46" s="19"/>
      <c r="S46" s="2"/>
      <c r="T46" s="2">
        <f>--979.57</f>
        <v>979.57</v>
      </c>
      <c r="U46" s="2"/>
      <c r="V46" s="19"/>
      <c r="W46" s="2"/>
      <c r="X46" s="2">
        <f t="shared" si="2"/>
        <v>-979.57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"4143", " - ", "NON-TAXABLE SALES-CARDS")</f>
        <v xml:space="preserve">          4143 - NON-TAXABLE SALES-CARDS</v>
      </c>
      <c r="C47" s="11"/>
      <c r="D47" s="2">
        <f t="shared" si="9"/>
        <v>0</v>
      </c>
      <c r="E47" s="2"/>
      <c r="F47" s="19"/>
      <c r="G47" s="2"/>
      <c r="H47" s="2">
        <f>--19.98</f>
        <v>19.98</v>
      </c>
      <c r="I47" s="2"/>
      <c r="J47" s="19"/>
      <c r="K47" s="2"/>
      <c r="L47" s="2">
        <f t="shared" si="0"/>
        <v>-19.98</v>
      </c>
      <c r="M47" s="2"/>
      <c r="N47" s="19">
        <f t="shared" si="1"/>
        <v>-1</v>
      </c>
      <c r="O47" s="11"/>
      <c r="P47" s="2">
        <f t="shared" si="10"/>
        <v>0</v>
      </c>
      <c r="Q47" s="2"/>
      <c r="R47" s="19"/>
      <c r="S47" s="2"/>
      <c r="T47" s="2">
        <f>--19.98</f>
        <v>19.98</v>
      </c>
      <c r="U47" s="2"/>
      <c r="V47" s="19"/>
      <c r="W47" s="2"/>
      <c r="X47" s="2">
        <f t="shared" si="2"/>
        <v>-19.98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"4144", " - ", "NON-TAXABLE SALES-ACCESSORIES")</f>
        <v xml:space="preserve">          4144 - NON-TAXABLE SALES-ACCESSORIES</v>
      </c>
      <c r="C48" s="11"/>
      <c r="D48" s="2">
        <f t="shared" si="9"/>
        <v>0</v>
      </c>
      <c r="E48" s="2"/>
      <c r="F48" s="19"/>
      <c r="G48" s="2"/>
      <c r="H48" s="2">
        <f>--107.95</f>
        <v>107.95</v>
      </c>
      <c r="I48" s="2"/>
      <c r="J48" s="19"/>
      <c r="K48" s="2"/>
      <c r="L48" s="2">
        <f t="shared" si="0"/>
        <v>-107.95</v>
      </c>
      <c r="M48" s="2"/>
      <c r="N48" s="19">
        <f t="shared" si="1"/>
        <v>-1</v>
      </c>
      <c r="O48" s="11"/>
      <c r="P48" s="2">
        <f t="shared" si="10"/>
        <v>0</v>
      </c>
      <c r="Q48" s="2"/>
      <c r="R48" s="19"/>
      <c r="S48" s="2"/>
      <c r="T48" s="2">
        <f>--155.8</f>
        <v>155.80000000000001</v>
      </c>
      <c r="U48" s="2"/>
      <c r="V48" s="19"/>
      <c r="W48" s="2"/>
      <c r="X48" s="2">
        <f t="shared" si="2"/>
        <v>-155.80000000000001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"4145", " - ", "NON-TAXABLE SALES-SPECIAL ORDE")</f>
        <v xml:space="preserve">          4145 - NON-TAXABLE SALES-SPECIAL ORDE</v>
      </c>
      <c r="C49" s="11"/>
      <c r="D49" s="2">
        <f t="shared" si="9"/>
        <v>0</v>
      </c>
      <c r="E49" s="2"/>
      <c r="F49" s="19"/>
      <c r="G49" s="2"/>
      <c r="H49" s="2">
        <f>--350</f>
        <v>350</v>
      </c>
      <c r="I49" s="2"/>
      <c r="J49" s="19"/>
      <c r="K49" s="2"/>
      <c r="L49" s="2">
        <f t="shared" si="0"/>
        <v>-350</v>
      </c>
      <c r="M49" s="2"/>
      <c r="N49" s="19">
        <f t="shared" si="1"/>
        <v>-1</v>
      </c>
      <c r="O49" s="11"/>
      <c r="P49" s="2">
        <f t="shared" si="10"/>
        <v>0</v>
      </c>
      <c r="Q49" s="2"/>
      <c r="R49" s="19"/>
      <c r="S49" s="2"/>
      <c r="T49" s="2">
        <f>--35846</f>
        <v>35846</v>
      </c>
      <c r="U49" s="2"/>
      <c r="V49" s="19"/>
      <c r="W49" s="2"/>
      <c r="X49" s="2">
        <f t="shared" si="2"/>
        <v>-35846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"4146", " - ", "NON-TAXABLE SALES-COIN OP MACH")</f>
        <v xml:space="preserve">          4146 - NON-TAXABLE SALES-COIN OP MACH</v>
      </c>
      <c r="C50" s="11"/>
      <c r="D50" s="2">
        <f>--2713.4</f>
        <v>2713.4</v>
      </c>
      <c r="E50" s="2"/>
      <c r="F50" s="19"/>
      <c r="G50" s="2"/>
      <c r="H50" s="2">
        <f>--15.5</f>
        <v>15.5</v>
      </c>
      <c r="I50" s="2"/>
      <c r="J50" s="19"/>
      <c r="K50" s="2"/>
      <c r="L50" s="2">
        <f t="shared" si="0"/>
        <v>2697.9</v>
      </c>
      <c r="M50" s="2"/>
      <c r="N50" s="19">
        <f t="shared" si="1"/>
        <v>174.05806451612904</v>
      </c>
      <c r="O50" s="11"/>
      <c r="P50" s="2">
        <f>--2733.6</f>
        <v>2733.6</v>
      </c>
      <c r="Q50" s="2"/>
      <c r="R50" s="19"/>
      <c r="S50" s="2"/>
      <c r="T50" s="2">
        <f>--15.5</f>
        <v>15.5</v>
      </c>
      <c r="U50" s="2"/>
      <c r="V50" s="19"/>
      <c r="W50" s="2"/>
      <c r="X50" s="2">
        <f t="shared" si="2"/>
        <v>2718.1</v>
      </c>
      <c r="Y50" s="2"/>
      <c r="Z50" s="19">
        <f t="shared" si="3"/>
        <v>175.36129032258063</v>
      </c>
    </row>
    <row r="51" spans="1:26" s="24" customFormat="1" hidden="1" outlineLevel="1" x14ac:dyDescent="0.3">
      <c r="A51" s="44"/>
      <c r="B51" s="11" t="str">
        <f>CONCATENATE("          ", "4147", " - ", "NON-TAXABLE SALES-MISC")</f>
        <v xml:space="preserve">          4147 - NON-TAXABLE SALES-MISC</v>
      </c>
      <c r="C51" s="11"/>
      <c r="D51" s="2">
        <f>0</f>
        <v>0</v>
      </c>
      <c r="E51" s="2"/>
      <c r="F51" s="19"/>
      <c r="G51" s="2"/>
      <c r="H51" s="2">
        <f>--23</f>
        <v>23</v>
      </c>
      <c r="I51" s="2"/>
      <c r="J51" s="19"/>
      <c r="K51" s="2"/>
      <c r="L51" s="2">
        <f t="shared" si="0"/>
        <v>-23</v>
      </c>
      <c r="M51" s="2"/>
      <c r="N51" s="19">
        <f t="shared" si="1"/>
        <v>-1</v>
      </c>
      <c r="O51" s="11"/>
      <c r="P51" s="2">
        <f>0</f>
        <v>0</v>
      </c>
      <c r="Q51" s="2"/>
      <c r="R51" s="19"/>
      <c r="S51" s="2"/>
      <c r="T51" s="2">
        <f>--24</f>
        <v>24</v>
      </c>
      <c r="U51" s="2"/>
      <c r="V51" s="19"/>
      <c r="W51" s="2"/>
      <c r="X51" s="2">
        <f t="shared" si="2"/>
        <v>-24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"4200", " - ", "TAXABLE RETURNS")</f>
        <v xml:space="preserve">          4200 - TAXABLE RETURNS</v>
      </c>
      <c r="C52" s="11"/>
      <c r="D52" s="2">
        <f>-20240.57</f>
        <v>-20240.57</v>
      </c>
      <c r="E52" s="2"/>
      <c r="F52" s="19"/>
      <c r="G52" s="2"/>
      <c r="H52" s="2">
        <f>0</f>
        <v>0</v>
      </c>
      <c r="I52" s="2"/>
      <c r="J52" s="19"/>
      <c r="K52" s="2"/>
      <c r="L52" s="2">
        <f t="shared" si="0"/>
        <v>-20240.57</v>
      </c>
      <c r="M52" s="2"/>
      <c r="N52" s="19">
        <f t="shared" si="1"/>
        <v>0</v>
      </c>
      <c r="O52" s="11"/>
      <c r="P52" s="2">
        <f>-25806.84</f>
        <v>-25806.84</v>
      </c>
      <c r="Q52" s="2"/>
      <c r="R52" s="19"/>
      <c r="S52" s="2"/>
      <c r="T52" s="2">
        <f>0</f>
        <v>0</v>
      </c>
      <c r="U52" s="2"/>
      <c r="V52" s="19"/>
      <c r="W52" s="2"/>
      <c r="X52" s="2">
        <f t="shared" si="2"/>
        <v>-25806.84</v>
      </c>
      <c r="Y52" s="2"/>
      <c r="Z52" s="19">
        <f t="shared" si="3"/>
        <v>0</v>
      </c>
    </row>
    <row r="53" spans="1:26" s="24" customFormat="1" hidden="1" outlineLevel="1" x14ac:dyDescent="0.3">
      <c r="A53" s="44"/>
      <c r="B53" s="11" t="str">
        <f>CONCATENATE("          ", "4201", " - ", "SALES RETURN TAXABLE-NEW TEXT")</f>
        <v xml:space="preserve">          4201 - SALES RETURN TAXABLE-NEW TEXT</v>
      </c>
      <c r="C53" s="11"/>
      <c r="D53" s="2">
        <f t="shared" ref="D53:D64" si="11">0</f>
        <v>0</v>
      </c>
      <c r="E53" s="2"/>
      <c r="F53" s="19"/>
      <c r="G53" s="2"/>
      <c r="H53" s="2">
        <f>-18222.39</f>
        <v>-18222.39</v>
      </c>
      <c r="I53" s="2"/>
      <c r="J53" s="19"/>
      <c r="K53" s="2"/>
      <c r="L53" s="2">
        <f t="shared" si="0"/>
        <v>18222.39</v>
      </c>
      <c r="M53" s="2"/>
      <c r="N53" s="19">
        <f t="shared" si="1"/>
        <v>-1</v>
      </c>
      <c r="O53" s="11"/>
      <c r="P53" s="2">
        <f t="shared" ref="P53:P64" si="12">0</f>
        <v>0</v>
      </c>
      <c r="Q53" s="2"/>
      <c r="R53" s="19"/>
      <c r="S53" s="2"/>
      <c r="T53" s="2">
        <f>-18855.79</f>
        <v>-18855.79</v>
      </c>
      <c r="U53" s="2"/>
      <c r="V53" s="19"/>
      <c r="W53" s="2"/>
      <c r="X53" s="2">
        <f t="shared" si="2"/>
        <v>18855.79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"4202", " - ", "SALES RETURN TAXABLE-USED TEXT")</f>
        <v xml:space="preserve">          4202 - SALES RETURN TAXABLE-USED TEXT</v>
      </c>
      <c r="C54" s="11"/>
      <c r="D54" s="2">
        <f t="shared" si="11"/>
        <v>0</v>
      </c>
      <c r="E54" s="2"/>
      <c r="F54" s="19"/>
      <c r="G54" s="2"/>
      <c r="H54" s="2">
        <f>-8869.4</f>
        <v>-8869.4</v>
      </c>
      <c r="I54" s="2"/>
      <c r="J54" s="19"/>
      <c r="K54" s="2"/>
      <c r="L54" s="2">
        <f t="shared" si="0"/>
        <v>8869.4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-9047.75</f>
        <v>-9047.75</v>
      </c>
      <c r="U54" s="2"/>
      <c r="V54" s="19"/>
      <c r="W54" s="2"/>
      <c r="X54" s="2">
        <f t="shared" si="2"/>
        <v>9047.75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"4204", " - ", "SALES RETURN TAXABLE-DIGITAL T")</f>
        <v xml:space="preserve">          4204 - SALES RETURN TAXABLE-DIGITAL T</v>
      </c>
      <c r="C55" s="11"/>
      <c r="D55" s="2">
        <f t="shared" si="11"/>
        <v>0</v>
      </c>
      <c r="E55" s="2"/>
      <c r="F55" s="19"/>
      <c r="G55" s="2"/>
      <c r="H55" s="2">
        <f>-1141.08</f>
        <v>-1141.08</v>
      </c>
      <c r="I55" s="2"/>
      <c r="J55" s="19"/>
      <c r="K55" s="2"/>
      <c r="L55" s="2">
        <f t="shared" si="0"/>
        <v>1141.08</v>
      </c>
      <c r="M55" s="2"/>
      <c r="N55" s="19">
        <f t="shared" si="1"/>
        <v>-1</v>
      </c>
      <c r="O55" s="11"/>
      <c r="P55" s="2">
        <f t="shared" si="12"/>
        <v>0</v>
      </c>
      <c r="Q55" s="2"/>
      <c r="R55" s="19"/>
      <c r="S55" s="2"/>
      <c r="T55" s="2">
        <f>-1141.08</f>
        <v>-1141.08</v>
      </c>
      <c r="U55" s="2"/>
      <c r="V55" s="19"/>
      <c r="W55" s="2"/>
      <c r="X55" s="2">
        <f t="shared" si="2"/>
        <v>1141.08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"4226", " - ", "SALES RETURN TAXABLE-WRITING I")</f>
        <v xml:space="preserve">          4226 - SALES RETURN TAXABLE-WRITING I</v>
      </c>
      <c r="C56" s="11"/>
      <c r="D56" s="2">
        <f t="shared" si="11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12"/>
        <v>0</v>
      </c>
      <c r="Q56" s="2"/>
      <c r="R56" s="19"/>
      <c r="S56" s="2"/>
      <c r="T56" s="2">
        <f>-6.38</f>
        <v>-6.38</v>
      </c>
      <c r="U56" s="2"/>
      <c r="V56" s="19"/>
      <c r="W56" s="2"/>
      <c r="X56" s="2">
        <f t="shared" si="2"/>
        <v>6.38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"4227", " - ", "SALES RETURN TAXABLE-SCHOOL SU")</f>
        <v xml:space="preserve">          4227 - SALES RETURN TAXABLE-SCHOOL SU</v>
      </c>
      <c r="C57" s="11"/>
      <c r="D57" s="2">
        <f t="shared" si="11"/>
        <v>0</v>
      </c>
      <c r="E57" s="2"/>
      <c r="F57" s="19"/>
      <c r="G57" s="2"/>
      <c r="H57" s="2">
        <f>-359.61</f>
        <v>-359.61</v>
      </c>
      <c r="I57" s="2"/>
      <c r="J57" s="19"/>
      <c r="K57" s="2"/>
      <c r="L57" s="2">
        <f t="shared" si="0"/>
        <v>359.61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-416.38</f>
        <v>-416.38</v>
      </c>
      <c r="U57" s="2"/>
      <c r="V57" s="19"/>
      <c r="W57" s="2"/>
      <c r="X57" s="2">
        <f t="shared" si="2"/>
        <v>416.38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"4228", " - ", "SALES RETURN TAXABLE-ART/TECH")</f>
        <v xml:space="preserve">          4228 - SALES RETURN TAXABLE-ART/TECH</v>
      </c>
      <c r="C58" s="11"/>
      <c r="D58" s="2">
        <f t="shared" si="11"/>
        <v>0</v>
      </c>
      <c r="E58" s="2"/>
      <c r="F58" s="19"/>
      <c r="G58" s="2"/>
      <c r="H58" s="2">
        <f>-164.44</f>
        <v>-164.44</v>
      </c>
      <c r="I58" s="2"/>
      <c r="J58" s="19"/>
      <c r="K58" s="2"/>
      <c r="L58" s="2">
        <f t="shared" si="0"/>
        <v>164.44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-164.44</f>
        <v>-164.44</v>
      </c>
      <c r="U58" s="2"/>
      <c r="V58" s="19"/>
      <c r="W58" s="2"/>
      <c r="X58" s="2">
        <f t="shared" si="2"/>
        <v>164.44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"4240", " - ", "SALES RETURN TAXABLE-LOGO CLOT")</f>
        <v xml:space="preserve">          4240 - SALES RETURN TAXABLE-LOGO CLOT</v>
      </c>
      <c r="C59" s="11"/>
      <c r="D59" s="2">
        <f t="shared" si="11"/>
        <v>0</v>
      </c>
      <c r="E59" s="2"/>
      <c r="F59" s="19"/>
      <c r="G59" s="2"/>
      <c r="H59" s="2">
        <f>-4788.72</f>
        <v>-4788.72</v>
      </c>
      <c r="I59" s="2"/>
      <c r="J59" s="19"/>
      <c r="K59" s="2"/>
      <c r="L59" s="2">
        <f t="shared" si="0"/>
        <v>4788.72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-8156.82</f>
        <v>-8156.82</v>
      </c>
      <c r="U59" s="2"/>
      <c r="V59" s="19"/>
      <c r="W59" s="2"/>
      <c r="X59" s="2">
        <f t="shared" si="2"/>
        <v>8156.82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"4241", " - ", "SALES RETURN TAXABLE-LOGO GIFT")</f>
        <v xml:space="preserve">          4241 - SALES RETURN TAXABLE-LOGO GIFT</v>
      </c>
      <c r="C60" s="11"/>
      <c r="D60" s="2">
        <f t="shared" si="11"/>
        <v>0</v>
      </c>
      <c r="E60" s="2"/>
      <c r="F60" s="19"/>
      <c r="G60" s="2"/>
      <c r="H60" s="2">
        <f>-986.21</f>
        <v>-986.21</v>
      </c>
      <c r="I60" s="2"/>
      <c r="J60" s="19"/>
      <c r="K60" s="2"/>
      <c r="L60" s="2">
        <f t="shared" si="0"/>
        <v>986.21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-1328.19</f>
        <v>-1328.19</v>
      </c>
      <c r="U60" s="2"/>
      <c r="V60" s="19"/>
      <c r="W60" s="2"/>
      <c r="X60" s="2">
        <f t="shared" si="2"/>
        <v>1328.19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"4242", " - ", "SALES RETURN TAXABLE-EVERYDAY")</f>
        <v xml:space="preserve">          4242 - SALES RETURN TAXABLE-EVERYDAY</v>
      </c>
      <c r="C61" s="11"/>
      <c r="D61" s="2">
        <f t="shared" si="11"/>
        <v>0</v>
      </c>
      <c r="E61" s="2"/>
      <c r="F61" s="19"/>
      <c r="G61" s="2"/>
      <c r="H61" s="2">
        <f>-470.53</f>
        <v>-470.53</v>
      </c>
      <c r="I61" s="2"/>
      <c r="J61" s="19"/>
      <c r="K61" s="2"/>
      <c r="L61" s="2">
        <f t="shared" si="0"/>
        <v>470.53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-649.49</f>
        <v>-649.49</v>
      </c>
      <c r="U61" s="2"/>
      <c r="V61" s="19"/>
      <c r="W61" s="2"/>
      <c r="X61" s="2">
        <f t="shared" si="2"/>
        <v>649.49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"4243", " - ", "SALES RETURN TAXABLE-CARDS")</f>
        <v xml:space="preserve">          4243 - SALES RETURN TAXABLE-CARDS</v>
      </c>
      <c r="C62" s="11"/>
      <c r="D62" s="2">
        <f t="shared" si="11"/>
        <v>0</v>
      </c>
      <c r="E62" s="2"/>
      <c r="F62" s="19"/>
      <c r="G62" s="2"/>
      <c r="H62" s="2">
        <f>-93.43</f>
        <v>-93.43</v>
      </c>
      <c r="I62" s="2"/>
      <c r="J62" s="19"/>
      <c r="K62" s="2"/>
      <c r="L62" s="2">
        <f t="shared" si="0"/>
        <v>93.43</v>
      </c>
      <c r="M62" s="2"/>
      <c r="N62" s="19">
        <f t="shared" si="1"/>
        <v>-1</v>
      </c>
      <c r="O62" s="11"/>
      <c r="P62" s="2">
        <f t="shared" si="12"/>
        <v>0</v>
      </c>
      <c r="Q62" s="2"/>
      <c r="R62" s="19"/>
      <c r="S62" s="2"/>
      <c r="T62" s="2">
        <f>-93.43</f>
        <v>-93.43</v>
      </c>
      <c r="U62" s="2"/>
      <c r="V62" s="19"/>
      <c r="W62" s="2"/>
      <c r="X62" s="2">
        <f t="shared" si="2"/>
        <v>93.43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"4244", " - ", "SALES RETURN TAXABLE-ACCESSORI")</f>
        <v xml:space="preserve">          4244 - SALES RETURN TAXABLE-ACCESSORI</v>
      </c>
      <c r="C63" s="11"/>
      <c r="D63" s="2">
        <f t="shared" si="11"/>
        <v>0</v>
      </c>
      <c r="E63" s="2"/>
      <c r="F63" s="19"/>
      <c r="G63" s="2"/>
      <c r="H63" s="2">
        <f>-350.99</f>
        <v>-350.99</v>
      </c>
      <c r="I63" s="2"/>
      <c r="J63" s="19"/>
      <c r="K63" s="2"/>
      <c r="L63" s="2">
        <f t="shared" si="0"/>
        <v>350.99</v>
      </c>
      <c r="M63" s="2"/>
      <c r="N63" s="19">
        <f t="shared" si="1"/>
        <v>-1</v>
      </c>
      <c r="O63" s="11"/>
      <c r="P63" s="2">
        <f t="shared" si="12"/>
        <v>0</v>
      </c>
      <c r="Q63" s="2"/>
      <c r="R63" s="19"/>
      <c r="S63" s="2"/>
      <c r="T63" s="2">
        <f>-350.99</f>
        <v>-350.99</v>
      </c>
      <c r="U63" s="2"/>
      <c r="V63" s="19"/>
      <c r="W63" s="2"/>
      <c r="X63" s="2">
        <f t="shared" si="2"/>
        <v>350.99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"4245", " - ", "SALES RETURN TAXABLE-SPECIAL O")</f>
        <v xml:space="preserve">          4245 - SALES RETURN TAXABLE-SPECIAL O</v>
      </c>
      <c r="C64" s="11"/>
      <c r="D64" s="2">
        <f t="shared" si="11"/>
        <v>0</v>
      </c>
      <c r="E64" s="2"/>
      <c r="F64" s="19"/>
      <c r="G64" s="2"/>
      <c r="H64" s="2">
        <f>-57.96</f>
        <v>-57.96</v>
      </c>
      <c r="I64" s="2"/>
      <c r="J64" s="19"/>
      <c r="K64" s="2"/>
      <c r="L64" s="2">
        <f t="shared" si="0"/>
        <v>57.96</v>
      </c>
      <c r="M64" s="2"/>
      <c r="N64" s="19">
        <f t="shared" si="1"/>
        <v>-1</v>
      </c>
      <c r="O64" s="11"/>
      <c r="P64" s="2">
        <f t="shared" si="12"/>
        <v>0</v>
      </c>
      <c r="Q64" s="2"/>
      <c r="R64" s="19"/>
      <c r="S64" s="2"/>
      <c r="T64" s="2">
        <f>-1178.96</f>
        <v>-1178.96</v>
      </c>
      <c r="U64" s="2"/>
      <c r="V64" s="19"/>
      <c r="W64" s="2"/>
      <c r="X64" s="2">
        <f t="shared" si="2"/>
        <v>1178.96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"4300", " - ", "NON-TAX RETURNS")</f>
        <v xml:space="preserve">          4300 - NON-TAX RETURNS</v>
      </c>
      <c r="C65" s="11"/>
      <c r="D65" s="2">
        <f>-16288.08</f>
        <v>-16288.08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-16288.08</v>
      </c>
      <c r="M65" s="2"/>
      <c r="N65" s="19">
        <f t="shared" si="1"/>
        <v>0</v>
      </c>
      <c r="O65" s="11"/>
      <c r="P65" s="2">
        <f>-17390.66</f>
        <v>-17390.66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-17390.66</v>
      </c>
      <c r="Y65" s="2"/>
      <c r="Z65" s="19">
        <f t="shared" si="3"/>
        <v>0</v>
      </c>
    </row>
    <row r="66" spans="1:26" s="24" customFormat="1" hidden="1" outlineLevel="1" x14ac:dyDescent="0.3">
      <c r="A66" s="44"/>
      <c r="B66" s="11" t="str">
        <f>CONCATENATE("          ", "4301", " - ", "SALES RETURN NON TAXABLE-NEW T")</f>
        <v xml:space="preserve">          4301 - SALES RETURN NON TAXABLE-NEW T</v>
      </c>
      <c r="C66" s="11"/>
      <c r="D66" s="2">
        <f t="shared" ref="D66:D71" si="13">0</f>
        <v>0</v>
      </c>
      <c r="E66" s="2"/>
      <c r="F66" s="19"/>
      <c r="G66" s="2"/>
      <c r="H66" s="2">
        <f>-20.25</f>
        <v>-20.25</v>
      </c>
      <c r="I66" s="2"/>
      <c r="J66" s="19"/>
      <c r="K66" s="2"/>
      <c r="L66" s="2">
        <f t="shared" si="0"/>
        <v>20.25</v>
      </c>
      <c r="M66" s="2"/>
      <c r="N66" s="19">
        <f t="shared" si="1"/>
        <v>-1</v>
      </c>
      <c r="O66" s="11"/>
      <c r="P66" s="2">
        <f t="shared" ref="P66:P71" si="14">0</f>
        <v>0</v>
      </c>
      <c r="Q66" s="2"/>
      <c r="R66" s="19"/>
      <c r="S66" s="2"/>
      <c r="T66" s="2">
        <f>-20.25</f>
        <v>-20.25</v>
      </c>
      <c r="U66" s="2"/>
      <c r="V66" s="19"/>
      <c r="W66" s="2"/>
      <c r="X66" s="2">
        <f t="shared" si="2"/>
        <v>20.25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"4302", " - ", "SALES RETURN NON TAXABLE-TEXT")</f>
        <v xml:space="preserve">          4302 - SALES RETURN NON TAXABLE-TEXT</v>
      </c>
      <c r="C67" s="11"/>
      <c r="D67" s="2">
        <f t="shared" si="13"/>
        <v>0</v>
      </c>
      <c r="E67" s="2"/>
      <c r="F67" s="19"/>
      <c r="G67" s="2"/>
      <c r="H67" s="2">
        <f>-346.17</f>
        <v>-346.17</v>
      </c>
      <c r="I67" s="2"/>
      <c r="J67" s="19"/>
      <c r="K67" s="2"/>
      <c r="L67" s="2">
        <f t="shared" si="0"/>
        <v>346.17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-409.84</f>
        <v>-409.84</v>
      </c>
      <c r="U67" s="2"/>
      <c r="V67" s="19"/>
      <c r="W67" s="2"/>
      <c r="X67" s="2">
        <f t="shared" si="2"/>
        <v>409.84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"4304", " - ", "SALES RETURN NON TAXABLE-DIGIT")</f>
        <v xml:space="preserve">          4304 - SALES RETURN NON TAXABLE-DIGIT</v>
      </c>
      <c r="C68" s="11"/>
      <c r="D68" s="2">
        <f t="shared" si="13"/>
        <v>0</v>
      </c>
      <c r="E68" s="2"/>
      <c r="F68" s="19"/>
      <c r="G68" s="2"/>
      <c r="H68" s="2">
        <f>-5500.68</f>
        <v>-5500.68</v>
      </c>
      <c r="I68" s="2"/>
      <c r="J68" s="19"/>
      <c r="K68" s="2"/>
      <c r="L68" s="2">
        <f t="shared" si="0"/>
        <v>5500.68</v>
      </c>
      <c r="M68" s="2"/>
      <c r="N68" s="19">
        <f t="shared" si="1"/>
        <v>-1</v>
      </c>
      <c r="O68" s="11"/>
      <c r="P68" s="2">
        <f t="shared" si="14"/>
        <v>0</v>
      </c>
      <c r="Q68" s="2"/>
      <c r="R68" s="19"/>
      <c r="S68" s="2"/>
      <c r="T68" s="2">
        <f>-5952.73</f>
        <v>-5952.73</v>
      </c>
      <c r="U68" s="2"/>
      <c r="V68" s="19"/>
      <c r="W68" s="2"/>
      <c r="X68" s="2">
        <f t="shared" si="2"/>
        <v>5952.73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"4340", " - ", "SALES RETURN NON TAXABLE-LOGO")</f>
        <v xml:space="preserve">          4340 - SALES RETURN NON TAXABLE-LOGO</v>
      </c>
      <c r="C69" s="11"/>
      <c r="D69" s="2">
        <f t="shared" si="13"/>
        <v>0</v>
      </c>
      <c r="E69" s="2"/>
      <c r="F69" s="19"/>
      <c r="G69" s="2"/>
      <c r="H69" s="2">
        <f>-69.9</f>
        <v>-69.900000000000006</v>
      </c>
      <c r="I69" s="2"/>
      <c r="J69" s="19"/>
      <c r="K69" s="2"/>
      <c r="L69" s="2">
        <f t="shared" si="0"/>
        <v>69.900000000000006</v>
      </c>
      <c r="M69" s="2"/>
      <c r="N69" s="19">
        <f t="shared" si="1"/>
        <v>-1</v>
      </c>
      <c r="O69" s="11"/>
      <c r="P69" s="2">
        <f t="shared" si="14"/>
        <v>0</v>
      </c>
      <c r="Q69" s="2"/>
      <c r="R69" s="19"/>
      <c r="S69" s="2"/>
      <c r="T69" s="2">
        <f>-504.14</f>
        <v>-504.14</v>
      </c>
      <c r="U69" s="2"/>
      <c r="V69" s="19"/>
      <c r="W69" s="2"/>
      <c r="X69" s="2">
        <f t="shared" si="2"/>
        <v>504.14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"4341", " - ", "SALES RETURN NON TAXABLE-LOGO")</f>
        <v xml:space="preserve">          4341 - SALES RETURN NON TAXABLE-LOGO</v>
      </c>
      <c r="C70" s="11"/>
      <c r="D70" s="2">
        <f t="shared" si="13"/>
        <v>0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 t="shared" si="14"/>
        <v>0</v>
      </c>
      <c r="Q70" s="2"/>
      <c r="R70" s="19"/>
      <c r="S70" s="2"/>
      <c r="T70" s="2">
        <f>-16.95</f>
        <v>-16.95</v>
      </c>
      <c r="U70" s="2"/>
      <c r="V70" s="19"/>
      <c r="W70" s="2"/>
      <c r="X70" s="2">
        <f t="shared" si="2"/>
        <v>16.95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"4342", " - ", "SALES RETURN NON TAXABLE-EVERY")</f>
        <v xml:space="preserve">          4342 - SALES RETURN NON TAXABLE-EVERY</v>
      </c>
      <c r="C71" s="11"/>
      <c r="D71" s="2">
        <f t="shared" si="13"/>
        <v>0</v>
      </c>
      <c r="E71" s="2"/>
      <c r="F71" s="19"/>
      <c r="G71" s="2"/>
      <c r="H71" s="2">
        <f>-13.9</f>
        <v>-13.9</v>
      </c>
      <c r="I71" s="2"/>
      <c r="J71" s="19"/>
      <c r="K71" s="2"/>
      <c r="L71" s="2">
        <f t="shared" si="0"/>
        <v>13.9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-93.75</f>
        <v>-93.75</v>
      </c>
      <c r="U71" s="2"/>
      <c r="V71" s="19"/>
      <c r="W71" s="2"/>
      <c r="X71" s="2">
        <f t="shared" si="2"/>
        <v>93.75</v>
      </c>
      <c r="Y71" s="2"/>
      <c r="Z71" s="19">
        <f t="shared" si="3"/>
        <v>-1</v>
      </c>
    </row>
    <row r="72" spans="1:26" x14ac:dyDescent="0.3">
      <c r="A72" s="9"/>
      <c r="B72" s="10"/>
      <c r="C72" s="9"/>
      <c r="D72" s="3"/>
      <c r="E72" s="3"/>
      <c r="F72" s="6"/>
      <c r="G72" s="3"/>
      <c r="H72" s="3"/>
      <c r="I72" s="3"/>
      <c r="J72" s="6"/>
      <c r="K72" s="3"/>
      <c r="L72" s="3"/>
      <c r="M72" s="3"/>
      <c r="N72" s="6"/>
      <c r="P72" s="3"/>
      <c r="Q72" s="3"/>
      <c r="R72" s="6"/>
      <c r="S72" s="3"/>
      <c r="T72" s="3"/>
      <c r="U72" s="3"/>
      <c r="V72" s="6"/>
      <c r="W72" s="3"/>
      <c r="X72" s="3"/>
      <c r="Y72" s="3"/>
      <c r="Z72" s="6"/>
    </row>
    <row r="73" spans="1:26" s="23" customFormat="1" collapsed="1" x14ac:dyDescent="0.3">
      <c r="A73" s="10"/>
      <c r="B73" s="26" t="s">
        <v>256</v>
      </c>
      <c r="C73" s="10"/>
      <c r="D73" s="4">
        <f>SUM(OSRRefD16x_0)</f>
        <v>992337.97</v>
      </c>
      <c r="E73" s="4"/>
      <c r="F73" s="12">
        <f t="shared" ref="F73:F105" si="15">IF(D$12=0,0,D73/D$12)</f>
        <v>0.65596351837488576</v>
      </c>
      <c r="G73" s="4"/>
      <c r="H73" s="4">
        <f>SUM(OSRRefH16x_0)</f>
        <v>1081423.0600000003</v>
      </c>
      <c r="I73" s="4"/>
      <c r="J73" s="12">
        <f t="shared" ref="J73:J105" si="16">IF(H$12=0,0,H73/H$12)</f>
        <v>0.67712130351950117</v>
      </c>
      <c r="K73" s="4"/>
      <c r="L73" s="4">
        <f t="shared" ref="L73:L105" si="17">+D73-H73</f>
        <v>-89085.090000000317</v>
      </c>
      <c r="M73" s="4"/>
      <c r="N73" s="12">
        <f t="shared" ref="N73:N105" si="18">IF(H73=0,0,L73/H73)</f>
        <v>-8.237764968688599E-2</v>
      </c>
      <c r="O73" s="10"/>
      <c r="P73" s="4">
        <f>SUM(OSRRefP16x_0)</f>
        <v>1119759.4099999999</v>
      </c>
      <c r="Q73" s="4"/>
      <c r="R73" s="12">
        <f t="shared" ref="R73:R105" si="19">IF(P$12=0,0,P73/P$12)</f>
        <v>0.64603019985078458</v>
      </c>
      <c r="S73" s="4"/>
      <c r="T73" s="4">
        <f>SUM(OSRRefT16x_0)</f>
        <v>1222818.3300000003</v>
      </c>
      <c r="U73" s="4"/>
      <c r="V73" s="12">
        <f t="shared" ref="V73:V105" si="20">IF(T$12=0,0,T73/T$12)</f>
        <v>0.67012690395555063</v>
      </c>
      <c r="W73" s="4"/>
      <c r="X73" s="4">
        <f t="shared" ref="X73:X105" si="21">+P73-T73</f>
        <v>-103058.92000000039</v>
      </c>
      <c r="Y73" s="4"/>
      <c r="Z73" s="12">
        <f t="shared" ref="Z73:Z105" si="22">IF(T73=0,0,X73/T73)</f>
        <v>-8.4279829204065307E-2</v>
      </c>
    </row>
    <row r="74" spans="1:26" s="24" customFormat="1" hidden="1" outlineLevel="1" x14ac:dyDescent="0.3">
      <c r="A74" s="44"/>
      <c r="B74" s="11" t="str">
        <f>CONCATENATE("          ", "5000", " - ", "PURCHASES @ COST")</f>
        <v xml:space="preserve">          5000 - PURCHASES @ COST</v>
      </c>
      <c r="C74" s="11"/>
      <c r="D74" s="2">
        <v>500180.97</v>
      </c>
      <c r="E74" s="2"/>
      <c r="F74" s="19">
        <f t="shared" si="15"/>
        <v>0.33063379496137102</v>
      </c>
      <c r="G74" s="2"/>
      <c r="H74" s="2"/>
      <c r="I74" s="2"/>
      <c r="J74" s="19">
        <f t="shared" si="16"/>
        <v>0</v>
      </c>
      <c r="K74" s="2"/>
      <c r="L74" s="2">
        <f t="shared" si="17"/>
        <v>500180.97</v>
      </c>
      <c r="M74" s="2"/>
      <c r="N74" s="19">
        <f t="shared" si="18"/>
        <v>0</v>
      </c>
      <c r="O74" s="11"/>
      <c r="P74" s="2">
        <v>844954.64</v>
      </c>
      <c r="Q74" s="2"/>
      <c r="R74" s="19">
        <f t="shared" si="19"/>
        <v>0.48748526698609995</v>
      </c>
      <c r="S74" s="2"/>
      <c r="T74" s="2"/>
      <c r="U74" s="2"/>
      <c r="V74" s="19">
        <f t="shared" si="20"/>
        <v>0</v>
      </c>
      <c r="W74" s="2"/>
      <c r="X74" s="2">
        <f t="shared" si="21"/>
        <v>844954.64</v>
      </c>
      <c r="Y74" s="2"/>
      <c r="Z74" s="19">
        <f t="shared" si="22"/>
        <v>0</v>
      </c>
    </row>
    <row r="75" spans="1:26" s="24" customFormat="1" hidden="1" outlineLevel="1" x14ac:dyDescent="0.3">
      <c r="A75" s="44"/>
      <c r="B75" s="11" t="str">
        <f>CONCATENATE("          ", "5001", " - ", "PURCHASES @ COST-NEW TEXT")</f>
        <v xml:space="preserve">          5001 - PURCHASES @ COST-NEW TEXT</v>
      </c>
      <c r="C75" s="11"/>
      <c r="D75" s="2">
        <v>0</v>
      </c>
      <c r="E75" s="2"/>
      <c r="F75" s="19">
        <f t="shared" si="15"/>
        <v>0</v>
      </c>
      <c r="G75" s="2"/>
      <c r="H75" s="2">
        <v>538222.14</v>
      </c>
      <c r="I75" s="2"/>
      <c r="J75" s="19">
        <f t="shared" si="16"/>
        <v>0.33700194724889204</v>
      </c>
      <c r="K75" s="2"/>
      <c r="L75" s="2">
        <f t="shared" si="17"/>
        <v>-538222.14</v>
      </c>
      <c r="M75" s="2"/>
      <c r="N75" s="19">
        <f t="shared" si="18"/>
        <v>-1</v>
      </c>
      <c r="O75" s="11"/>
      <c r="P75" s="2">
        <v>0</v>
      </c>
      <c r="Q75" s="2"/>
      <c r="R75" s="19">
        <f t="shared" si="19"/>
        <v>0</v>
      </c>
      <c r="S75" s="2"/>
      <c r="T75" s="2">
        <v>691332.77</v>
      </c>
      <c r="U75" s="2"/>
      <c r="V75" s="19">
        <f t="shared" si="20"/>
        <v>0.37886305544922166</v>
      </c>
      <c r="W75" s="2"/>
      <c r="X75" s="2">
        <f t="shared" si="21"/>
        <v>-691332.77</v>
      </c>
      <c r="Y75" s="2"/>
      <c r="Z75" s="19">
        <f t="shared" si="22"/>
        <v>-1</v>
      </c>
    </row>
    <row r="76" spans="1:26" s="24" customFormat="1" hidden="1" outlineLevel="1" x14ac:dyDescent="0.3">
      <c r="A76" s="44"/>
      <c r="B76" s="11" t="str">
        <f>CONCATENATE("          ", "5002", " - ", "PURCHASES @ COST-USED TEXT")</f>
        <v xml:space="preserve">          5002 - PURCHASES @ COST-USED TEXT</v>
      </c>
      <c r="C76" s="11"/>
      <c r="D76" s="2">
        <v>0</v>
      </c>
      <c r="E76" s="2"/>
      <c r="F76" s="19">
        <f t="shared" si="15"/>
        <v>0</v>
      </c>
      <c r="G76" s="2"/>
      <c r="H76" s="2">
        <v>128042.67</v>
      </c>
      <c r="I76" s="2"/>
      <c r="J76" s="19">
        <f t="shared" si="16"/>
        <v>8.0172527129685311E-2</v>
      </c>
      <c r="K76" s="2"/>
      <c r="L76" s="2">
        <f t="shared" si="17"/>
        <v>-128042.67</v>
      </c>
      <c r="M76" s="2"/>
      <c r="N76" s="19">
        <f t="shared" si="18"/>
        <v>-1</v>
      </c>
      <c r="O76" s="11"/>
      <c r="P76" s="2">
        <v>0</v>
      </c>
      <c r="Q76" s="2"/>
      <c r="R76" s="19">
        <f t="shared" si="19"/>
        <v>0</v>
      </c>
      <c r="S76" s="2"/>
      <c r="T76" s="2">
        <v>188367.52</v>
      </c>
      <c r="U76" s="2"/>
      <c r="V76" s="19">
        <f t="shared" si="20"/>
        <v>0.10322886064636046</v>
      </c>
      <c r="W76" s="2"/>
      <c r="X76" s="2">
        <f t="shared" si="21"/>
        <v>-188367.52</v>
      </c>
      <c r="Y76" s="2"/>
      <c r="Z76" s="19">
        <f t="shared" si="22"/>
        <v>-1</v>
      </c>
    </row>
    <row r="77" spans="1:26" s="24" customFormat="1" hidden="1" outlineLevel="1" x14ac:dyDescent="0.3">
      <c r="A77" s="44"/>
      <c r="B77" s="11" t="str">
        <f>CONCATENATE("          ", "5003", " - ", "PURCHASES @ COST-RENTAL TEXT")</f>
        <v xml:space="preserve">          5003 - PURCHASES @ COST-RENTAL TEXT</v>
      </c>
      <c r="C77" s="11"/>
      <c r="D77" s="2"/>
      <c r="E77" s="2"/>
      <c r="F77" s="19">
        <f t="shared" si="15"/>
        <v>0</v>
      </c>
      <c r="G77" s="2"/>
      <c r="H77" s="2">
        <v>58.8</v>
      </c>
      <c r="I77" s="2"/>
      <c r="J77" s="19">
        <f t="shared" si="16"/>
        <v>3.6816981364302201E-5</v>
      </c>
      <c r="K77" s="2"/>
      <c r="L77" s="2">
        <f t="shared" si="17"/>
        <v>-58.8</v>
      </c>
      <c r="M77" s="2"/>
      <c r="N77" s="19">
        <f t="shared" si="18"/>
        <v>-1</v>
      </c>
      <c r="O77" s="11"/>
      <c r="P77" s="2"/>
      <c r="Q77" s="2"/>
      <c r="R77" s="19">
        <f t="shared" si="19"/>
        <v>0</v>
      </c>
      <c r="S77" s="2"/>
      <c r="T77" s="2">
        <v>-11867.84</v>
      </c>
      <c r="U77" s="2"/>
      <c r="V77" s="19">
        <f t="shared" si="20"/>
        <v>-6.5037942928446611E-3</v>
      </c>
      <c r="W77" s="2"/>
      <c r="X77" s="2">
        <f t="shared" si="21"/>
        <v>11867.84</v>
      </c>
      <c r="Y77" s="2"/>
      <c r="Z77" s="19">
        <f t="shared" si="22"/>
        <v>-1</v>
      </c>
    </row>
    <row r="78" spans="1:26" s="24" customFormat="1" hidden="1" outlineLevel="1" x14ac:dyDescent="0.3">
      <c r="A78" s="44"/>
      <c r="B78" s="11" t="str">
        <f>CONCATENATE("          ", "5004", " - ", "PURCHASES @ COST-DIGITAL TEXT")</f>
        <v xml:space="preserve">          5004 - PURCHASES @ COST-DIGITAL TEXT</v>
      </c>
      <c r="C78" s="11"/>
      <c r="D78" s="2">
        <v>0</v>
      </c>
      <c r="E78" s="2"/>
      <c r="F78" s="19">
        <f t="shared" si="15"/>
        <v>0</v>
      </c>
      <c r="G78" s="2"/>
      <c r="H78" s="2">
        <v>117504.49</v>
      </c>
      <c r="I78" s="2"/>
      <c r="J78" s="19">
        <f t="shared" si="16"/>
        <v>7.3574160179452966E-2</v>
      </c>
      <c r="K78" s="2"/>
      <c r="L78" s="2">
        <f t="shared" si="17"/>
        <v>-117504.49</v>
      </c>
      <c r="M78" s="2"/>
      <c r="N78" s="19">
        <f t="shared" si="18"/>
        <v>-1</v>
      </c>
      <c r="O78" s="11"/>
      <c r="P78" s="2">
        <v>0</v>
      </c>
      <c r="Q78" s="2"/>
      <c r="R78" s="19">
        <f t="shared" si="19"/>
        <v>0</v>
      </c>
      <c r="S78" s="2"/>
      <c r="T78" s="2">
        <v>122429.97</v>
      </c>
      <c r="U78" s="2"/>
      <c r="V78" s="19">
        <f t="shared" si="20"/>
        <v>6.7093872192340226E-2</v>
      </c>
      <c r="W78" s="2"/>
      <c r="X78" s="2">
        <f t="shared" si="21"/>
        <v>-122429.97</v>
      </c>
      <c r="Y78" s="2"/>
      <c r="Z78" s="19">
        <f t="shared" si="22"/>
        <v>-1</v>
      </c>
    </row>
    <row r="79" spans="1:26" s="24" customFormat="1" hidden="1" outlineLevel="1" x14ac:dyDescent="0.3">
      <c r="A79" s="44"/>
      <c r="B79" s="11" t="str">
        <f>CONCATENATE("          ", "5013", " - ", "PURCHASES @ COST-TRADE BOOKS")</f>
        <v xml:space="preserve">          5013 - PURCHASES @ COST-TRADE BOOKS</v>
      </c>
      <c r="C79" s="11"/>
      <c r="D79" s="2"/>
      <c r="E79" s="2"/>
      <c r="F79" s="19">
        <f t="shared" si="15"/>
        <v>0</v>
      </c>
      <c r="G79" s="2"/>
      <c r="H79" s="2"/>
      <c r="I79" s="2"/>
      <c r="J79" s="19">
        <f t="shared" si="16"/>
        <v>0</v>
      </c>
      <c r="K79" s="2"/>
      <c r="L79" s="2">
        <f t="shared" si="17"/>
        <v>0</v>
      </c>
      <c r="M79" s="2"/>
      <c r="N79" s="19">
        <f t="shared" si="18"/>
        <v>0</v>
      </c>
      <c r="O79" s="11"/>
      <c r="P79" s="2"/>
      <c r="Q79" s="2"/>
      <c r="R79" s="19">
        <f t="shared" si="19"/>
        <v>0</v>
      </c>
      <c r="S79" s="2"/>
      <c r="T79" s="2">
        <v>108.54</v>
      </c>
      <c r="U79" s="2"/>
      <c r="V79" s="19">
        <f t="shared" si="20"/>
        <v>5.9481913519676668E-5</v>
      </c>
      <c r="W79" s="2"/>
      <c r="X79" s="2">
        <f t="shared" si="21"/>
        <v>-108.54</v>
      </c>
      <c r="Y79" s="2"/>
      <c r="Z79" s="19">
        <f t="shared" si="22"/>
        <v>-1</v>
      </c>
    </row>
    <row r="80" spans="1:26" s="24" customFormat="1" hidden="1" outlineLevel="1" x14ac:dyDescent="0.3">
      <c r="A80" s="44"/>
      <c r="B80" s="11" t="str">
        <f>CONCATENATE("          ", "5014", " - ", "PURCHASES @ COST-REMAINDERS")</f>
        <v xml:space="preserve">          5014 - PURCHASES @ COST-REMAINDERS</v>
      </c>
      <c r="C80" s="11"/>
      <c r="D80" s="2"/>
      <c r="E80" s="2"/>
      <c r="F80" s="19">
        <f t="shared" si="15"/>
        <v>0</v>
      </c>
      <c r="G80" s="2"/>
      <c r="H80" s="2"/>
      <c r="I80" s="2"/>
      <c r="J80" s="19">
        <f t="shared" si="16"/>
        <v>0</v>
      </c>
      <c r="K80" s="2"/>
      <c r="L80" s="2">
        <f t="shared" si="17"/>
        <v>0</v>
      </c>
      <c r="M80" s="2"/>
      <c r="N80" s="19">
        <f t="shared" si="18"/>
        <v>0</v>
      </c>
      <c r="O80" s="11"/>
      <c r="P80" s="2"/>
      <c r="Q80" s="2"/>
      <c r="R80" s="19">
        <f t="shared" si="19"/>
        <v>0</v>
      </c>
      <c r="S80" s="2"/>
      <c r="T80" s="2">
        <v>-12.51</v>
      </c>
      <c r="U80" s="2"/>
      <c r="V80" s="19">
        <f t="shared" si="20"/>
        <v>-6.855709767193247E-6</v>
      </c>
      <c r="W80" s="2"/>
      <c r="X80" s="2">
        <f t="shared" si="21"/>
        <v>12.51</v>
      </c>
      <c r="Y80" s="2"/>
      <c r="Z80" s="19">
        <f t="shared" si="22"/>
        <v>-1</v>
      </c>
    </row>
    <row r="81" spans="1:26" s="24" customFormat="1" hidden="1" outlineLevel="1" x14ac:dyDescent="0.3">
      <c r="A81" s="44"/>
      <c r="B81" s="11" t="str">
        <f>CONCATENATE("          ", "5026", " - ", "PURCHASES @ COST-WRITING INSTR")</f>
        <v xml:space="preserve">          5026 - PURCHASES @ COST-WRITING INSTR</v>
      </c>
      <c r="C81" s="11"/>
      <c r="D81" s="2">
        <v>0</v>
      </c>
      <c r="E81" s="2"/>
      <c r="F81" s="19">
        <f t="shared" si="15"/>
        <v>0</v>
      </c>
      <c r="G81" s="2"/>
      <c r="H81" s="2"/>
      <c r="I81" s="2"/>
      <c r="J81" s="19">
        <f t="shared" si="16"/>
        <v>0</v>
      </c>
      <c r="K81" s="2"/>
      <c r="L81" s="2">
        <f t="shared" si="17"/>
        <v>0</v>
      </c>
      <c r="M81" s="2"/>
      <c r="N81" s="19">
        <f t="shared" si="18"/>
        <v>0</v>
      </c>
      <c r="O81" s="11"/>
      <c r="P81" s="2">
        <v>0</v>
      </c>
      <c r="Q81" s="2"/>
      <c r="R81" s="19">
        <f t="shared" si="19"/>
        <v>0</v>
      </c>
      <c r="S81" s="2"/>
      <c r="T81" s="2"/>
      <c r="U81" s="2"/>
      <c r="V81" s="19">
        <f t="shared" si="20"/>
        <v>0</v>
      </c>
      <c r="W81" s="2"/>
      <c r="X81" s="2">
        <f t="shared" si="21"/>
        <v>0</v>
      </c>
      <c r="Y81" s="2"/>
      <c r="Z81" s="19">
        <f t="shared" si="22"/>
        <v>0</v>
      </c>
    </row>
    <row r="82" spans="1:26" s="24" customFormat="1" hidden="1" outlineLevel="1" x14ac:dyDescent="0.3">
      <c r="A82" s="44"/>
      <c r="B82" s="11" t="str">
        <f>CONCATENATE("          ", "5027", " - ", "PURCHASES @ COST-SCHOOL SUPPLI")</f>
        <v xml:space="preserve">          5027 - PURCHASES @ COST-SCHOOL SUPPLI</v>
      </c>
      <c r="C82" s="11"/>
      <c r="D82" s="2">
        <v>0</v>
      </c>
      <c r="E82" s="2"/>
      <c r="F82" s="19">
        <f t="shared" si="15"/>
        <v>0</v>
      </c>
      <c r="G82" s="2"/>
      <c r="H82" s="2"/>
      <c r="I82" s="2"/>
      <c r="J82" s="19">
        <f t="shared" si="16"/>
        <v>0</v>
      </c>
      <c r="K82" s="2"/>
      <c r="L82" s="2">
        <f t="shared" si="17"/>
        <v>0</v>
      </c>
      <c r="M82" s="2"/>
      <c r="N82" s="19">
        <f t="shared" si="18"/>
        <v>0</v>
      </c>
      <c r="O82" s="11"/>
      <c r="P82" s="2">
        <v>0</v>
      </c>
      <c r="Q82" s="2"/>
      <c r="R82" s="19">
        <f t="shared" si="19"/>
        <v>0</v>
      </c>
      <c r="S82" s="2"/>
      <c r="T82" s="2">
        <v>8503.4</v>
      </c>
      <c r="U82" s="2"/>
      <c r="V82" s="19">
        <f t="shared" si="20"/>
        <v>4.6600193792446891E-3</v>
      </c>
      <c r="W82" s="2"/>
      <c r="X82" s="2">
        <f t="shared" si="21"/>
        <v>-8503.4</v>
      </c>
      <c r="Y82" s="2"/>
      <c r="Z82" s="19">
        <f t="shared" si="22"/>
        <v>-1</v>
      </c>
    </row>
    <row r="83" spans="1:26" s="24" customFormat="1" hidden="1" outlineLevel="1" x14ac:dyDescent="0.3">
      <c r="A83" s="44"/>
      <c r="B83" s="11" t="str">
        <f>CONCATENATE("          ", "5028", " - ", "PURCHASES @ COST-ART/TECH")</f>
        <v xml:space="preserve">          5028 - PURCHASES @ COST-ART/TECH</v>
      </c>
      <c r="C83" s="11"/>
      <c r="D83" s="2">
        <v>0</v>
      </c>
      <c r="E83" s="2"/>
      <c r="F83" s="19">
        <f t="shared" si="15"/>
        <v>0</v>
      </c>
      <c r="G83" s="2"/>
      <c r="H83" s="2"/>
      <c r="I83" s="2"/>
      <c r="J83" s="19">
        <f t="shared" si="16"/>
        <v>0</v>
      </c>
      <c r="K83" s="2"/>
      <c r="L83" s="2">
        <f t="shared" si="17"/>
        <v>0</v>
      </c>
      <c r="M83" s="2"/>
      <c r="N83" s="19">
        <f t="shared" si="18"/>
        <v>0</v>
      </c>
      <c r="O83" s="11"/>
      <c r="P83" s="2">
        <v>0</v>
      </c>
      <c r="Q83" s="2"/>
      <c r="R83" s="19">
        <f t="shared" si="19"/>
        <v>0</v>
      </c>
      <c r="S83" s="2"/>
      <c r="T83" s="2"/>
      <c r="U83" s="2"/>
      <c r="V83" s="19">
        <f t="shared" si="20"/>
        <v>0</v>
      </c>
      <c r="W83" s="2"/>
      <c r="X83" s="2">
        <f t="shared" si="21"/>
        <v>0</v>
      </c>
      <c r="Y83" s="2"/>
      <c r="Z83" s="19">
        <f t="shared" si="22"/>
        <v>0</v>
      </c>
    </row>
    <row r="84" spans="1:26" s="24" customFormat="1" hidden="1" outlineLevel="1" x14ac:dyDescent="0.3">
      <c r="A84" s="44"/>
      <c r="B84" s="11" t="str">
        <f>CONCATENATE("          ", "5031", " - ", "PURCHASES @ COST-FOOD")</f>
        <v xml:space="preserve">          5031 - PURCHASES @ COST-FOOD</v>
      </c>
      <c r="C84" s="11"/>
      <c r="D84" s="2">
        <v>0</v>
      </c>
      <c r="E84" s="2"/>
      <c r="F84" s="19">
        <f t="shared" si="15"/>
        <v>0</v>
      </c>
      <c r="G84" s="2"/>
      <c r="H84" s="2">
        <v>0</v>
      </c>
      <c r="I84" s="2"/>
      <c r="J84" s="19">
        <f t="shared" si="16"/>
        <v>0</v>
      </c>
      <c r="K84" s="2"/>
      <c r="L84" s="2">
        <f t="shared" si="17"/>
        <v>0</v>
      </c>
      <c r="M84" s="2"/>
      <c r="N84" s="19">
        <f t="shared" si="18"/>
        <v>0</v>
      </c>
      <c r="O84" s="11"/>
      <c r="P84" s="2">
        <v>0</v>
      </c>
      <c r="Q84" s="2"/>
      <c r="R84" s="19">
        <f t="shared" si="19"/>
        <v>0</v>
      </c>
      <c r="S84" s="2"/>
      <c r="T84" s="2">
        <v>0</v>
      </c>
      <c r="U84" s="2"/>
      <c r="V84" s="19">
        <f t="shared" si="20"/>
        <v>0</v>
      </c>
      <c r="W84" s="2"/>
      <c r="X84" s="2">
        <f t="shared" si="21"/>
        <v>0</v>
      </c>
      <c r="Y84" s="2"/>
      <c r="Z84" s="19">
        <f t="shared" si="22"/>
        <v>0</v>
      </c>
    </row>
    <row r="85" spans="1:26" s="24" customFormat="1" hidden="1" outlineLevel="1" x14ac:dyDescent="0.3">
      <c r="A85" s="44"/>
      <c r="B85" s="11" t="str">
        <f>CONCATENATE("          ", "5040", " - ", "PURCHASES @ COST-LOGO CLOTHING")</f>
        <v xml:space="preserve">          5040 - PURCHASES @ COST-LOGO CLOTHING</v>
      </c>
      <c r="C85" s="11"/>
      <c r="D85" s="2">
        <v>0</v>
      </c>
      <c r="E85" s="2"/>
      <c r="F85" s="19">
        <f t="shared" si="15"/>
        <v>0</v>
      </c>
      <c r="G85" s="2"/>
      <c r="H85" s="2">
        <v>7628.83</v>
      </c>
      <c r="I85" s="2"/>
      <c r="J85" s="19">
        <f t="shared" si="16"/>
        <v>4.7767090466229517E-3</v>
      </c>
      <c r="K85" s="2"/>
      <c r="L85" s="2">
        <f t="shared" si="17"/>
        <v>-7628.83</v>
      </c>
      <c r="M85" s="2"/>
      <c r="N85" s="19">
        <f t="shared" si="18"/>
        <v>-1</v>
      </c>
      <c r="O85" s="11"/>
      <c r="P85" s="2">
        <v>0</v>
      </c>
      <c r="Q85" s="2"/>
      <c r="R85" s="19">
        <f t="shared" si="19"/>
        <v>0</v>
      </c>
      <c r="S85" s="2"/>
      <c r="T85" s="2">
        <v>9351.9</v>
      </c>
      <c r="U85" s="2"/>
      <c r="V85" s="19">
        <f t="shared" si="20"/>
        <v>5.1250129633744626E-3</v>
      </c>
      <c r="W85" s="2"/>
      <c r="X85" s="2">
        <f t="shared" si="21"/>
        <v>-9351.9</v>
      </c>
      <c r="Y85" s="2"/>
      <c r="Z85" s="19">
        <f t="shared" si="22"/>
        <v>-1</v>
      </c>
    </row>
    <row r="86" spans="1:26" s="24" customFormat="1" hidden="1" outlineLevel="1" x14ac:dyDescent="0.3">
      <c r="A86" s="44"/>
      <c r="B86" s="11" t="str">
        <f>CONCATENATE("          ", "5041", " - ", "PURCHASES @ COST-LOGO GIFTS")</f>
        <v xml:space="preserve">          5041 - PURCHASES @ COST-LOGO GIFTS</v>
      </c>
      <c r="C86" s="11"/>
      <c r="D86" s="2">
        <v>0</v>
      </c>
      <c r="E86" s="2"/>
      <c r="F86" s="19">
        <f t="shared" si="15"/>
        <v>0</v>
      </c>
      <c r="G86" s="2"/>
      <c r="H86" s="2">
        <v>1843.29</v>
      </c>
      <c r="I86" s="2"/>
      <c r="J86" s="19">
        <f t="shared" si="16"/>
        <v>1.1541560132483776E-3</v>
      </c>
      <c r="K86" s="2"/>
      <c r="L86" s="2">
        <f t="shared" si="17"/>
        <v>-1843.29</v>
      </c>
      <c r="M86" s="2"/>
      <c r="N86" s="19">
        <f t="shared" si="18"/>
        <v>-1</v>
      </c>
      <c r="O86" s="11"/>
      <c r="P86" s="2">
        <v>0</v>
      </c>
      <c r="Q86" s="2"/>
      <c r="R86" s="19">
        <f t="shared" si="19"/>
        <v>0</v>
      </c>
      <c r="S86" s="2"/>
      <c r="T86" s="2">
        <v>1129.54</v>
      </c>
      <c r="U86" s="2"/>
      <c r="V86" s="19">
        <f t="shared" si="20"/>
        <v>6.1900866590211513E-4</v>
      </c>
      <c r="W86" s="2"/>
      <c r="X86" s="2">
        <f t="shared" si="21"/>
        <v>-1129.54</v>
      </c>
      <c r="Y86" s="2"/>
      <c r="Z86" s="19">
        <f t="shared" si="22"/>
        <v>-1</v>
      </c>
    </row>
    <row r="87" spans="1:26" s="24" customFormat="1" hidden="1" outlineLevel="1" x14ac:dyDescent="0.3">
      <c r="A87" s="44"/>
      <c r="B87" s="11" t="str">
        <f>CONCATENATE("          ", "5042", " - ", "PURCHASES @ COST-EVERYDAY GIFT")</f>
        <v xml:space="preserve">          5042 - PURCHASES @ COST-EVERYDAY GIFT</v>
      </c>
      <c r="C87" s="11"/>
      <c r="D87" s="2">
        <v>0</v>
      </c>
      <c r="E87" s="2"/>
      <c r="F87" s="19">
        <f t="shared" si="15"/>
        <v>0</v>
      </c>
      <c r="G87" s="2"/>
      <c r="H87" s="2">
        <v>732.99</v>
      </c>
      <c r="I87" s="2"/>
      <c r="J87" s="19">
        <f t="shared" si="16"/>
        <v>4.5895372738469166E-4</v>
      </c>
      <c r="K87" s="2"/>
      <c r="L87" s="2">
        <f t="shared" si="17"/>
        <v>-732.99</v>
      </c>
      <c r="M87" s="2"/>
      <c r="N87" s="19">
        <f t="shared" si="18"/>
        <v>-1</v>
      </c>
      <c r="O87" s="11"/>
      <c r="P87" s="2">
        <v>0</v>
      </c>
      <c r="Q87" s="2"/>
      <c r="R87" s="19">
        <f t="shared" si="19"/>
        <v>0</v>
      </c>
      <c r="S87" s="2"/>
      <c r="T87" s="2">
        <v>969.15</v>
      </c>
      <c r="U87" s="2"/>
      <c r="V87" s="19">
        <f t="shared" si="20"/>
        <v>5.3111200006997086E-4</v>
      </c>
      <c r="W87" s="2"/>
      <c r="X87" s="2">
        <f t="shared" si="21"/>
        <v>-969.15</v>
      </c>
      <c r="Y87" s="2"/>
      <c r="Z87" s="19">
        <f t="shared" si="22"/>
        <v>-1</v>
      </c>
    </row>
    <row r="88" spans="1:26" s="24" customFormat="1" hidden="1" outlineLevel="1" x14ac:dyDescent="0.3">
      <c r="A88" s="44"/>
      <c r="B88" s="11" t="str">
        <f>CONCATENATE("          ", "5043", " - ", "PURCHASES @ COST-CARDS")</f>
        <v xml:space="preserve">          5043 - PURCHASES @ COST-CARDS</v>
      </c>
      <c r="C88" s="11"/>
      <c r="D88" s="2">
        <v>0</v>
      </c>
      <c r="E88" s="2"/>
      <c r="F88" s="19">
        <f t="shared" si="15"/>
        <v>0</v>
      </c>
      <c r="G88" s="2"/>
      <c r="H88" s="2">
        <v>1406.55</v>
      </c>
      <c r="I88" s="2"/>
      <c r="J88" s="19">
        <f t="shared" si="16"/>
        <v>8.8069600574760642E-4</v>
      </c>
      <c r="K88" s="2"/>
      <c r="L88" s="2">
        <f t="shared" si="17"/>
        <v>-1406.55</v>
      </c>
      <c r="M88" s="2"/>
      <c r="N88" s="19">
        <f t="shared" si="18"/>
        <v>-1</v>
      </c>
      <c r="O88" s="11"/>
      <c r="P88" s="2">
        <v>0</v>
      </c>
      <c r="Q88" s="2"/>
      <c r="R88" s="19">
        <f t="shared" si="19"/>
        <v>0</v>
      </c>
      <c r="S88" s="2"/>
      <c r="T88" s="2">
        <v>1715.25</v>
      </c>
      <c r="U88" s="2"/>
      <c r="V88" s="19">
        <f t="shared" si="20"/>
        <v>9.399885034514962E-4</v>
      </c>
      <c r="W88" s="2"/>
      <c r="X88" s="2">
        <f t="shared" si="21"/>
        <v>-1715.25</v>
      </c>
      <c r="Y88" s="2"/>
      <c r="Z88" s="19">
        <f t="shared" si="22"/>
        <v>-1</v>
      </c>
    </row>
    <row r="89" spans="1:26" s="24" customFormat="1" hidden="1" outlineLevel="1" x14ac:dyDescent="0.3">
      <c r="A89" s="44"/>
      <c r="B89" s="11" t="str">
        <f>CONCATENATE("          ", "5044", " - ", "PURCHASES @ COST-ACCESSORIES")</f>
        <v xml:space="preserve">          5044 - PURCHASES @ COST-ACCESSORIES</v>
      </c>
      <c r="C89" s="11"/>
      <c r="D89" s="2">
        <v>0</v>
      </c>
      <c r="E89" s="2"/>
      <c r="F89" s="19">
        <f t="shared" si="15"/>
        <v>0</v>
      </c>
      <c r="G89" s="2"/>
      <c r="H89" s="2"/>
      <c r="I89" s="2"/>
      <c r="J89" s="19">
        <f t="shared" si="16"/>
        <v>0</v>
      </c>
      <c r="K89" s="2"/>
      <c r="L89" s="2">
        <f t="shared" si="17"/>
        <v>0</v>
      </c>
      <c r="M89" s="2"/>
      <c r="N89" s="19">
        <f t="shared" si="18"/>
        <v>0</v>
      </c>
      <c r="O89" s="11"/>
      <c r="P89" s="2">
        <v>0</v>
      </c>
      <c r="Q89" s="2"/>
      <c r="R89" s="19">
        <f t="shared" si="19"/>
        <v>0</v>
      </c>
      <c r="S89" s="2"/>
      <c r="T89" s="2"/>
      <c r="U89" s="2"/>
      <c r="V89" s="19">
        <f t="shared" si="20"/>
        <v>0</v>
      </c>
      <c r="W89" s="2"/>
      <c r="X89" s="2">
        <f t="shared" si="21"/>
        <v>0</v>
      </c>
      <c r="Y89" s="2"/>
      <c r="Z89" s="19">
        <f t="shared" si="22"/>
        <v>0</v>
      </c>
    </row>
    <row r="90" spans="1:26" s="24" customFormat="1" hidden="1" outlineLevel="1" x14ac:dyDescent="0.3">
      <c r="A90" s="44"/>
      <c r="B90" s="11" t="str">
        <f>CONCATENATE("          ", "5045", " - ", "PURCHASES @ COST-SPECIAL ORDER")</f>
        <v xml:space="preserve">          5045 - PURCHASES @ COST-SPECIAL ORDER</v>
      </c>
      <c r="C90" s="11"/>
      <c r="D90" s="2">
        <v>0</v>
      </c>
      <c r="E90" s="2"/>
      <c r="F90" s="19">
        <f t="shared" si="15"/>
        <v>0</v>
      </c>
      <c r="G90" s="2"/>
      <c r="H90" s="2">
        <v>5633.96</v>
      </c>
      <c r="I90" s="2"/>
      <c r="J90" s="19">
        <f t="shared" si="16"/>
        <v>3.5276428627078918E-3</v>
      </c>
      <c r="K90" s="2"/>
      <c r="L90" s="2">
        <f t="shared" si="17"/>
        <v>-5633.96</v>
      </c>
      <c r="M90" s="2"/>
      <c r="N90" s="19">
        <f t="shared" si="18"/>
        <v>-1</v>
      </c>
      <c r="O90" s="11"/>
      <c r="P90" s="2">
        <v>0</v>
      </c>
      <c r="Q90" s="2"/>
      <c r="R90" s="19">
        <f t="shared" si="19"/>
        <v>0</v>
      </c>
      <c r="S90" s="2"/>
      <c r="T90" s="2">
        <v>8390.17</v>
      </c>
      <c r="U90" s="2"/>
      <c r="V90" s="19">
        <f t="shared" si="20"/>
        <v>4.5979672595852731E-3</v>
      </c>
      <c r="W90" s="2"/>
      <c r="X90" s="2">
        <f t="shared" si="21"/>
        <v>-8390.17</v>
      </c>
      <c r="Y90" s="2"/>
      <c r="Z90" s="19">
        <f t="shared" si="22"/>
        <v>-1</v>
      </c>
    </row>
    <row r="91" spans="1:26" s="24" customFormat="1" hidden="1" outlineLevel="1" x14ac:dyDescent="0.3">
      <c r="A91" s="44"/>
      <c r="B91" s="11" t="str">
        <f>CONCATENATE("          ", "5092", " - ", "PURCHASES @ COST-GRAD MERCH")</f>
        <v xml:space="preserve">          5092 - PURCHASES @ COST-GRAD MERCH</v>
      </c>
      <c r="C91" s="11"/>
      <c r="D91" s="2"/>
      <c r="E91" s="2"/>
      <c r="F91" s="19">
        <f t="shared" si="15"/>
        <v>0</v>
      </c>
      <c r="G91" s="2"/>
      <c r="H91" s="2"/>
      <c r="I91" s="2"/>
      <c r="J91" s="19">
        <f t="shared" si="16"/>
        <v>0</v>
      </c>
      <c r="K91" s="2"/>
      <c r="L91" s="2">
        <f t="shared" si="17"/>
        <v>0</v>
      </c>
      <c r="M91" s="2"/>
      <c r="N91" s="19">
        <f t="shared" si="18"/>
        <v>0</v>
      </c>
      <c r="O91" s="11"/>
      <c r="P91" s="2"/>
      <c r="Q91" s="2"/>
      <c r="R91" s="19">
        <f t="shared" si="19"/>
        <v>0</v>
      </c>
      <c r="S91" s="2"/>
      <c r="T91" s="2">
        <v>0</v>
      </c>
      <c r="U91" s="2"/>
      <c r="V91" s="19">
        <f t="shared" si="20"/>
        <v>0</v>
      </c>
      <c r="W91" s="2"/>
      <c r="X91" s="2">
        <f t="shared" si="21"/>
        <v>0</v>
      </c>
      <c r="Y91" s="2"/>
      <c r="Z91" s="19">
        <f t="shared" si="22"/>
        <v>0</v>
      </c>
    </row>
    <row r="92" spans="1:26" s="24" customFormat="1" hidden="1" outlineLevel="1" x14ac:dyDescent="0.3">
      <c r="A92" s="44"/>
      <c r="B92" s="11" t="str">
        <f>CONCATENATE("          ", "5200", " - ", "PURCHASES OFFSET")</f>
        <v xml:space="preserve">          5200 - PURCHASES OFFSET</v>
      </c>
      <c r="C92" s="11"/>
      <c r="D92" s="2">
        <v>-303819.98</v>
      </c>
      <c r="E92" s="2"/>
      <c r="F92" s="19">
        <f t="shared" si="15"/>
        <v>-0.20083361622591889</v>
      </c>
      <c r="G92" s="2"/>
      <c r="H92" s="2">
        <v>-497237.3</v>
      </c>
      <c r="I92" s="2"/>
      <c r="J92" s="19">
        <f t="shared" si="16"/>
        <v>-0.31133973482544119</v>
      </c>
      <c r="K92" s="2"/>
      <c r="L92" s="2">
        <f t="shared" si="17"/>
        <v>193417.32</v>
      </c>
      <c r="M92" s="2"/>
      <c r="N92" s="19">
        <f t="shared" si="18"/>
        <v>-0.38898393181686092</v>
      </c>
      <c r="O92" s="11"/>
      <c r="P92" s="2">
        <v>-650168.65</v>
      </c>
      <c r="Q92" s="2"/>
      <c r="R92" s="19">
        <f t="shared" si="19"/>
        <v>-0.37510609792170879</v>
      </c>
      <c r="S92" s="2"/>
      <c r="T92" s="2">
        <v>-713002.58</v>
      </c>
      <c r="U92" s="2"/>
      <c r="V92" s="19">
        <f t="shared" si="20"/>
        <v>-0.39073850933173337</v>
      </c>
      <c r="W92" s="2"/>
      <c r="X92" s="2">
        <f t="shared" si="21"/>
        <v>62833.929999999935</v>
      </c>
      <c r="Y92" s="2"/>
      <c r="Z92" s="19">
        <f t="shared" si="22"/>
        <v>-8.8125810147839767E-2</v>
      </c>
    </row>
    <row r="93" spans="1:26" s="24" customFormat="1" hidden="1" outlineLevel="1" x14ac:dyDescent="0.3">
      <c r="A93" s="44"/>
      <c r="B93" s="11" t="str">
        <f>CONCATENATE("          ", "5300", " - ", "COG$ OFFSET")</f>
        <v xml:space="preserve">          5300 - COG$ OFFSET</v>
      </c>
      <c r="C93" s="11"/>
      <c r="D93" s="2">
        <v>789387.34</v>
      </c>
      <c r="E93" s="2"/>
      <c r="F93" s="19">
        <f t="shared" si="15"/>
        <v>0.52180740086665445</v>
      </c>
      <c r="G93" s="2"/>
      <c r="H93" s="2">
        <v>770429</v>
      </c>
      <c r="I93" s="2"/>
      <c r="J93" s="19">
        <f t="shared" si="16"/>
        <v>0.48239575060404727</v>
      </c>
      <c r="K93" s="2"/>
      <c r="L93" s="2">
        <f t="shared" si="17"/>
        <v>18958.339999999967</v>
      </c>
      <c r="M93" s="2"/>
      <c r="N93" s="19">
        <f t="shared" si="18"/>
        <v>2.4607510880301713E-2</v>
      </c>
      <c r="O93" s="11"/>
      <c r="P93" s="2">
        <v>914798.75</v>
      </c>
      <c r="Q93" s="2"/>
      <c r="R93" s="19">
        <f t="shared" si="19"/>
        <v>0.52778089115209836</v>
      </c>
      <c r="S93" s="2"/>
      <c r="T93" s="2">
        <v>906057</v>
      </c>
      <c r="U93" s="2"/>
      <c r="V93" s="19">
        <f t="shared" si="20"/>
        <v>0.49653587726089626</v>
      </c>
      <c r="W93" s="2"/>
      <c r="X93" s="2">
        <f t="shared" si="21"/>
        <v>8741.75</v>
      </c>
      <c r="Y93" s="2"/>
      <c r="Z93" s="19">
        <f t="shared" si="22"/>
        <v>9.6481236831678363E-3</v>
      </c>
    </row>
    <row r="94" spans="1:26" s="24" customFormat="1" hidden="1" outlineLevel="1" x14ac:dyDescent="0.3">
      <c r="A94" s="44"/>
      <c r="B94" s="11" t="str">
        <f>CONCATENATE("          ", "5500", " - ", "FREIGHT-IN")</f>
        <v xml:space="preserve">          5500 - FREIGHT-IN</v>
      </c>
      <c r="C94" s="11"/>
      <c r="D94" s="2">
        <v>6589.64</v>
      </c>
      <c r="E94" s="2"/>
      <c r="F94" s="19">
        <f t="shared" si="15"/>
        <v>4.3559387727790787E-3</v>
      </c>
      <c r="G94" s="2"/>
      <c r="H94" s="2">
        <v>0</v>
      </c>
      <c r="I94" s="2"/>
      <c r="J94" s="19">
        <f t="shared" si="16"/>
        <v>0</v>
      </c>
      <c r="K94" s="2"/>
      <c r="L94" s="2">
        <f t="shared" si="17"/>
        <v>6589.64</v>
      </c>
      <c r="M94" s="2"/>
      <c r="N94" s="19">
        <f t="shared" si="18"/>
        <v>0</v>
      </c>
      <c r="O94" s="11"/>
      <c r="P94" s="2">
        <v>10174.67</v>
      </c>
      <c r="Q94" s="2"/>
      <c r="R94" s="19">
        <f t="shared" si="19"/>
        <v>5.8701396342949975E-3</v>
      </c>
      <c r="S94" s="2"/>
      <c r="T94" s="2">
        <v>0</v>
      </c>
      <c r="U94" s="2"/>
      <c r="V94" s="19">
        <f t="shared" si="20"/>
        <v>0</v>
      </c>
      <c r="W94" s="2"/>
      <c r="X94" s="2">
        <f t="shared" si="21"/>
        <v>10174.67</v>
      </c>
      <c r="Y94" s="2"/>
      <c r="Z94" s="19">
        <f t="shared" si="22"/>
        <v>0</v>
      </c>
    </row>
    <row r="95" spans="1:26" s="24" customFormat="1" hidden="1" outlineLevel="1" x14ac:dyDescent="0.3">
      <c r="A95" s="44"/>
      <c r="B95" s="11" t="str">
        <f>CONCATENATE("          ", "5501", " - ", "FREIGHT-IN-NEW TEXT")</f>
        <v xml:space="preserve">          5501 - FREIGHT-IN-NEW TEXT</v>
      </c>
      <c r="C95" s="11"/>
      <c r="D95" s="2">
        <v>0</v>
      </c>
      <c r="E95" s="2"/>
      <c r="F95" s="19">
        <f t="shared" si="15"/>
        <v>0</v>
      </c>
      <c r="G95" s="2"/>
      <c r="H95" s="2">
        <v>4680.5600000000004</v>
      </c>
      <c r="I95" s="2"/>
      <c r="J95" s="19">
        <f t="shared" si="16"/>
        <v>2.9306818077295634E-3</v>
      </c>
      <c r="K95" s="2"/>
      <c r="L95" s="2">
        <f t="shared" si="17"/>
        <v>-4680.5600000000004</v>
      </c>
      <c r="M95" s="2"/>
      <c r="N95" s="19">
        <f t="shared" si="18"/>
        <v>-1</v>
      </c>
      <c r="O95" s="11"/>
      <c r="P95" s="2">
        <v>0</v>
      </c>
      <c r="Q95" s="2"/>
      <c r="R95" s="19">
        <f t="shared" si="19"/>
        <v>0</v>
      </c>
      <c r="S95" s="2"/>
      <c r="T95" s="2">
        <v>5483.28</v>
      </c>
      <c r="U95" s="2"/>
      <c r="V95" s="19">
        <f t="shared" si="20"/>
        <v>3.0049381496607026E-3</v>
      </c>
      <c r="W95" s="2"/>
      <c r="X95" s="2">
        <f t="shared" si="21"/>
        <v>-5483.28</v>
      </c>
      <c r="Y95" s="2"/>
      <c r="Z95" s="19">
        <f t="shared" si="22"/>
        <v>-1</v>
      </c>
    </row>
    <row r="96" spans="1:26" s="24" customFormat="1" hidden="1" outlineLevel="1" x14ac:dyDescent="0.3">
      <c r="A96" s="44"/>
      <c r="B96" s="11" t="str">
        <f>CONCATENATE("          ", "5502", " - ", "FREIGHT-IN-USED TEXT")</f>
        <v xml:space="preserve">          5502 - FREIGHT-IN-USED TEXT</v>
      </c>
      <c r="C96" s="11"/>
      <c r="D96" s="2">
        <v>0</v>
      </c>
      <c r="E96" s="2"/>
      <c r="F96" s="19">
        <f t="shared" si="15"/>
        <v>0</v>
      </c>
      <c r="G96" s="2"/>
      <c r="H96" s="2">
        <v>1186.6600000000001</v>
      </c>
      <c r="I96" s="2"/>
      <c r="J96" s="19">
        <f t="shared" si="16"/>
        <v>7.4301427050617091E-4</v>
      </c>
      <c r="K96" s="2"/>
      <c r="L96" s="2">
        <f t="shared" si="17"/>
        <v>-1186.6600000000001</v>
      </c>
      <c r="M96" s="2"/>
      <c r="N96" s="19">
        <f t="shared" si="18"/>
        <v>-1</v>
      </c>
      <c r="O96" s="11"/>
      <c r="P96" s="2">
        <v>0</v>
      </c>
      <c r="Q96" s="2"/>
      <c r="R96" s="19">
        <f t="shared" si="19"/>
        <v>0</v>
      </c>
      <c r="S96" s="2"/>
      <c r="T96" s="2">
        <v>1234.55</v>
      </c>
      <c r="U96" s="2"/>
      <c r="V96" s="19">
        <f t="shared" si="20"/>
        <v>6.7655607458740399E-4</v>
      </c>
      <c r="W96" s="2"/>
      <c r="X96" s="2">
        <f t="shared" si="21"/>
        <v>-1234.55</v>
      </c>
      <c r="Y96" s="2"/>
      <c r="Z96" s="19">
        <f t="shared" si="22"/>
        <v>-1</v>
      </c>
    </row>
    <row r="97" spans="1:26" s="24" customFormat="1" hidden="1" outlineLevel="1" x14ac:dyDescent="0.3">
      <c r="A97" s="44"/>
      <c r="B97" s="11" t="str">
        <f>CONCATENATE("          ", "5518", " - ", "FREIGHT-IN-STUDY GUIDES")</f>
        <v xml:space="preserve">          5518 - FREIGHT-IN-STUDY GUIDES</v>
      </c>
      <c r="C97" s="11"/>
      <c r="D97" s="2"/>
      <c r="E97" s="2"/>
      <c r="F97" s="19">
        <f t="shared" si="15"/>
        <v>0</v>
      </c>
      <c r="G97" s="2"/>
      <c r="H97" s="2"/>
      <c r="I97" s="2"/>
      <c r="J97" s="19">
        <f t="shared" si="16"/>
        <v>0</v>
      </c>
      <c r="K97" s="2"/>
      <c r="L97" s="2">
        <f t="shared" si="17"/>
        <v>0</v>
      </c>
      <c r="M97" s="2"/>
      <c r="N97" s="19">
        <f t="shared" si="18"/>
        <v>0</v>
      </c>
      <c r="O97" s="11"/>
      <c r="P97" s="2">
        <v>0</v>
      </c>
      <c r="Q97" s="2"/>
      <c r="R97" s="19">
        <f t="shared" si="19"/>
        <v>0</v>
      </c>
      <c r="S97" s="2"/>
      <c r="T97" s="2"/>
      <c r="U97" s="2"/>
      <c r="V97" s="19">
        <f t="shared" si="20"/>
        <v>0</v>
      </c>
      <c r="W97" s="2"/>
      <c r="X97" s="2">
        <f t="shared" si="21"/>
        <v>0</v>
      </c>
      <c r="Y97" s="2"/>
      <c r="Z97" s="19">
        <f t="shared" si="22"/>
        <v>0</v>
      </c>
    </row>
    <row r="98" spans="1:26" s="24" customFormat="1" hidden="1" outlineLevel="1" x14ac:dyDescent="0.3">
      <c r="A98" s="44"/>
      <c r="B98" s="11" t="str">
        <f>CONCATENATE("          ", "5527", " - ", "FREIGHT-IN-SCHOOL SUPPLIES")</f>
        <v xml:space="preserve">          5527 - FREIGHT-IN-SCHOOL SUPPLIES</v>
      </c>
      <c r="C98" s="11"/>
      <c r="D98" s="2">
        <v>0</v>
      </c>
      <c r="E98" s="2"/>
      <c r="F98" s="19">
        <f t="shared" si="15"/>
        <v>0</v>
      </c>
      <c r="G98" s="2"/>
      <c r="H98" s="2"/>
      <c r="I98" s="2"/>
      <c r="J98" s="19">
        <f t="shared" si="16"/>
        <v>0</v>
      </c>
      <c r="K98" s="2"/>
      <c r="L98" s="2">
        <f t="shared" si="17"/>
        <v>0</v>
      </c>
      <c r="M98" s="2"/>
      <c r="N98" s="19">
        <f t="shared" si="18"/>
        <v>0</v>
      </c>
      <c r="O98" s="11"/>
      <c r="P98" s="2">
        <v>0</v>
      </c>
      <c r="Q98" s="2"/>
      <c r="R98" s="19">
        <f t="shared" si="19"/>
        <v>0</v>
      </c>
      <c r="S98" s="2"/>
      <c r="T98" s="2"/>
      <c r="U98" s="2"/>
      <c r="V98" s="19">
        <f t="shared" si="20"/>
        <v>0</v>
      </c>
      <c r="W98" s="2"/>
      <c r="X98" s="2">
        <f t="shared" si="21"/>
        <v>0</v>
      </c>
      <c r="Y98" s="2"/>
      <c r="Z98" s="19">
        <f t="shared" si="22"/>
        <v>0</v>
      </c>
    </row>
    <row r="99" spans="1:26" s="24" customFormat="1" hidden="1" outlineLevel="1" x14ac:dyDescent="0.3">
      <c r="A99" s="44"/>
      <c r="B99" s="11" t="str">
        <f>CONCATENATE("          ", "5528", " - ", "FREIGHT-IN-ART/TECH")</f>
        <v xml:space="preserve">          5528 - FREIGHT-IN-ART/TECH</v>
      </c>
      <c r="C99" s="11"/>
      <c r="D99" s="2">
        <v>0</v>
      </c>
      <c r="E99" s="2"/>
      <c r="F99" s="19">
        <f t="shared" si="15"/>
        <v>0</v>
      </c>
      <c r="G99" s="2"/>
      <c r="H99" s="2"/>
      <c r="I99" s="2"/>
      <c r="J99" s="19">
        <f t="shared" si="16"/>
        <v>0</v>
      </c>
      <c r="K99" s="2"/>
      <c r="L99" s="2">
        <f t="shared" si="17"/>
        <v>0</v>
      </c>
      <c r="M99" s="2"/>
      <c r="N99" s="19">
        <f t="shared" si="18"/>
        <v>0</v>
      </c>
      <c r="O99" s="11"/>
      <c r="P99" s="2">
        <v>0</v>
      </c>
      <c r="Q99" s="2"/>
      <c r="R99" s="19">
        <f t="shared" si="19"/>
        <v>0</v>
      </c>
      <c r="S99" s="2"/>
      <c r="T99" s="2">
        <v>38.049999999999997</v>
      </c>
      <c r="U99" s="2"/>
      <c r="V99" s="19">
        <f t="shared" si="20"/>
        <v>2.0852098852254439E-5</v>
      </c>
      <c r="W99" s="2"/>
      <c r="X99" s="2">
        <f t="shared" si="21"/>
        <v>-38.049999999999997</v>
      </c>
      <c r="Y99" s="2"/>
      <c r="Z99" s="19">
        <f t="shared" si="22"/>
        <v>-1</v>
      </c>
    </row>
    <row r="100" spans="1:26" s="24" customFormat="1" hidden="1" outlineLevel="1" x14ac:dyDescent="0.3">
      <c r="A100" s="44"/>
      <c r="B100" s="11" t="str">
        <f>CONCATENATE("          ", "5540", " - ", "FREIGHT-IN-LOGO CLOTHING")</f>
        <v xml:space="preserve">          5540 - FREIGHT-IN-LOGO CLOTHING</v>
      </c>
      <c r="C100" s="11"/>
      <c r="D100" s="2">
        <v>0</v>
      </c>
      <c r="E100" s="2"/>
      <c r="F100" s="19">
        <f t="shared" si="15"/>
        <v>0</v>
      </c>
      <c r="G100" s="2"/>
      <c r="H100" s="2">
        <v>1021.7</v>
      </c>
      <c r="I100" s="2"/>
      <c r="J100" s="19">
        <f t="shared" si="16"/>
        <v>6.397263581616932E-4</v>
      </c>
      <c r="K100" s="2"/>
      <c r="L100" s="2">
        <f t="shared" si="17"/>
        <v>-1021.7</v>
      </c>
      <c r="M100" s="2"/>
      <c r="N100" s="19">
        <f t="shared" si="18"/>
        <v>-1</v>
      </c>
      <c r="O100" s="11"/>
      <c r="P100" s="2">
        <v>0</v>
      </c>
      <c r="Q100" s="2"/>
      <c r="R100" s="19">
        <f t="shared" si="19"/>
        <v>0</v>
      </c>
      <c r="S100" s="2"/>
      <c r="T100" s="2">
        <v>1931.53</v>
      </c>
      <c r="U100" s="2"/>
      <c r="V100" s="19">
        <f t="shared" si="20"/>
        <v>1.0585139157975039E-3</v>
      </c>
      <c r="W100" s="2"/>
      <c r="X100" s="2">
        <f t="shared" si="21"/>
        <v>-1931.53</v>
      </c>
      <c r="Y100" s="2"/>
      <c r="Z100" s="19">
        <f t="shared" si="22"/>
        <v>-1</v>
      </c>
    </row>
    <row r="101" spans="1:26" s="24" customFormat="1" hidden="1" outlineLevel="1" x14ac:dyDescent="0.3">
      <c r="A101" s="44"/>
      <c r="B101" s="11" t="str">
        <f>CONCATENATE("          ", "5541", " - ", "FREIGHT-IN-LOGO GIFTS")</f>
        <v xml:space="preserve">          5541 - FREIGHT-IN-LOGO GIFTS</v>
      </c>
      <c r="C101" s="11"/>
      <c r="D101" s="2">
        <v>0</v>
      </c>
      <c r="E101" s="2"/>
      <c r="F101" s="19">
        <f t="shared" si="15"/>
        <v>0</v>
      </c>
      <c r="G101" s="2"/>
      <c r="H101" s="2">
        <v>123.12</v>
      </c>
      <c r="I101" s="2"/>
      <c r="J101" s="19">
        <f t="shared" si="16"/>
        <v>7.7090250775049105E-5</v>
      </c>
      <c r="K101" s="2"/>
      <c r="L101" s="2">
        <f t="shared" si="17"/>
        <v>-123.12</v>
      </c>
      <c r="M101" s="2"/>
      <c r="N101" s="19">
        <f t="shared" si="18"/>
        <v>-1</v>
      </c>
      <c r="O101" s="11"/>
      <c r="P101" s="2">
        <v>0</v>
      </c>
      <c r="Q101" s="2"/>
      <c r="R101" s="19">
        <f t="shared" si="19"/>
        <v>0</v>
      </c>
      <c r="S101" s="2"/>
      <c r="T101" s="2">
        <v>206.7</v>
      </c>
      <c r="U101" s="2"/>
      <c r="V101" s="19">
        <f t="shared" si="20"/>
        <v>1.1327539639319298E-4</v>
      </c>
      <c r="W101" s="2"/>
      <c r="X101" s="2">
        <f t="shared" si="21"/>
        <v>-206.7</v>
      </c>
      <c r="Y101" s="2"/>
      <c r="Z101" s="19">
        <f t="shared" si="22"/>
        <v>-1</v>
      </c>
    </row>
    <row r="102" spans="1:26" s="24" customFormat="1" hidden="1" outlineLevel="1" x14ac:dyDescent="0.3">
      <c r="A102" s="44"/>
      <c r="B102" s="11" t="str">
        <f>CONCATENATE("          ", "5542", " - ", "FREIGHT-IN-EVERYDAY GIFTS")</f>
        <v xml:space="preserve">          5542 - FREIGHT-IN-EVERYDAY GIFTS</v>
      </c>
      <c r="C102" s="11"/>
      <c r="D102" s="2">
        <v>0</v>
      </c>
      <c r="E102" s="2"/>
      <c r="F102" s="19">
        <f t="shared" si="15"/>
        <v>0</v>
      </c>
      <c r="G102" s="2"/>
      <c r="H102" s="2"/>
      <c r="I102" s="2"/>
      <c r="J102" s="19">
        <f t="shared" si="16"/>
        <v>0</v>
      </c>
      <c r="K102" s="2"/>
      <c r="L102" s="2">
        <f t="shared" si="17"/>
        <v>0</v>
      </c>
      <c r="M102" s="2"/>
      <c r="N102" s="19">
        <f t="shared" si="18"/>
        <v>0</v>
      </c>
      <c r="O102" s="11"/>
      <c r="P102" s="2">
        <v>0</v>
      </c>
      <c r="Q102" s="2"/>
      <c r="R102" s="19">
        <f t="shared" si="19"/>
        <v>0</v>
      </c>
      <c r="S102" s="2"/>
      <c r="T102" s="2">
        <v>5.94</v>
      </c>
      <c r="U102" s="2"/>
      <c r="V102" s="19">
        <f t="shared" si="20"/>
        <v>3.2552290980917579E-6</v>
      </c>
      <c r="W102" s="2"/>
      <c r="X102" s="2">
        <f t="shared" si="21"/>
        <v>-5.94</v>
      </c>
      <c r="Y102" s="2"/>
      <c r="Z102" s="19">
        <f t="shared" si="22"/>
        <v>-1</v>
      </c>
    </row>
    <row r="103" spans="1:26" s="24" customFormat="1" hidden="1" outlineLevel="1" x14ac:dyDescent="0.3">
      <c r="A103" s="44"/>
      <c r="B103" s="11" t="str">
        <f>CONCATENATE("          ", "5544", " - ", "FREIGHT-IN-ACCESSORIES")</f>
        <v xml:space="preserve">          5544 - FREIGHT-IN-ACCESSORIES</v>
      </c>
      <c r="C103" s="11"/>
      <c r="D103" s="2">
        <v>0</v>
      </c>
      <c r="E103" s="2"/>
      <c r="F103" s="19">
        <f t="shared" si="15"/>
        <v>0</v>
      </c>
      <c r="G103" s="2"/>
      <c r="H103" s="2"/>
      <c r="I103" s="2"/>
      <c r="J103" s="19">
        <f t="shared" si="16"/>
        <v>0</v>
      </c>
      <c r="K103" s="2"/>
      <c r="L103" s="2">
        <f t="shared" si="17"/>
        <v>0</v>
      </c>
      <c r="M103" s="2"/>
      <c r="N103" s="19">
        <f t="shared" si="18"/>
        <v>0</v>
      </c>
      <c r="O103" s="11"/>
      <c r="P103" s="2">
        <v>0</v>
      </c>
      <c r="Q103" s="2"/>
      <c r="R103" s="19">
        <f t="shared" si="19"/>
        <v>0</v>
      </c>
      <c r="S103" s="2"/>
      <c r="T103" s="2"/>
      <c r="U103" s="2"/>
      <c r="V103" s="19">
        <f t="shared" si="20"/>
        <v>0</v>
      </c>
      <c r="W103" s="2"/>
      <c r="X103" s="2">
        <f t="shared" si="21"/>
        <v>0</v>
      </c>
      <c r="Y103" s="2"/>
      <c r="Z103" s="19">
        <f t="shared" si="22"/>
        <v>0</v>
      </c>
    </row>
    <row r="104" spans="1:26" s="24" customFormat="1" hidden="1" outlineLevel="1" x14ac:dyDescent="0.3">
      <c r="A104" s="44"/>
      <c r="B104" s="11" t="str">
        <f>CONCATENATE("          ", "5545", " - ", "FREIGHT-IN-SPECIAL ORDERS")</f>
        <v xml:space="preserve">          5545 - FREIGHT-IN-SPECIAL ORDERS</v>
      </c>
      <c r="C104" s="11"/>
      <c r="D104" s="2">
        <v>0</v>
      </c>
      <c r="E104" s="2"/>
      <c r="F104" s="19">
        <f t="shared" si="15"/>
        <v>0</v>
      </c>
      <c r="G104" s="2"/>
      <c r="H104" s="2">
        <v>145.6</v>
      </c>
      <c r="I104" s="2"/>
      <c r="J104" s="19">
        <f t="shared" si="16"/>
        <v>9.1165858616367349E-5</v>
      </c>
      <c r="K104" s="2"/>
      <c r="L104" s="2">
        <f t="shared" si="17"/>
        <v>-145.6</v>
      </c>
      <c r="M104" s="2"/>
      <c r="N104" s="19">
        <f t="shared" si="18"/>
        <v>-1</v>
      </c>
      <c r="O104" s="11"/>
      <c r="P104" s="2">
        <v>0</v>
      </c>
      <c r="Q104" s="2"/>
      <c r="R104" s="19">
        <f t="shared" si="19"/>
        <v>0</v>
      </c>
      <c r="S104" s="2"/>
      <c r="T104" s="2">
        <v>446</v>
      </c>
      <c r="U104" s="2"/>
      <c r="V104" s="19">
        <f t="shared" si="20"/>
        <v>2.4441619154022288E-4</v>
      </c>
      <c r="W104" s="2"/>
      <c r="X104" s="2">
        <f t="shared" si="21"/>
        <v>-446</v>
      </c>
      <c r="Y104" s="2"/>
      <c r="Z104" s="19">
        <f t="shared" si="22"/>
        <v>-1</v>
      </c>
    </row>
    <row r="105" spans="1:26" s="24" customFormat="1" hidden="1" outlineLevel="1" x14ac:dyDescent="0.3">
      <c r="A105" s="44"/>
      <c r="B105" s="11" t="str">
        <f>CONCATENATE("          ", "5592", " - ", "FREIGHT-IN-GRAD MERCH")</f>
        <v xml:space="preserve">          5592 - FREIGHT-IN-GRAD MERCH</v>
      </c>
      <c r="C105" s="11"/>
      <c r="D105" s="2"/>
      <c r="E105" s="2"/>
      <c r="F105" s="19">
        <f t="shared" si="15"/>
        <v>0</v>
      </c>
      <c r="G105" s="2"/>
      <c r="H105" s="2"/>
      <c r="I105" s="2"/>
      <c r="J105" s="19">
        <f t="shared" si="16"/>
        <v>0</v>
      </c>
      <c r="K105" s="2"/>
      <c r="L105" s="2">
        <f t="shared" si="17"/>
        <v>0</v>
      </c>
      <c r="M105" s="2"/>
      <c r="N105" s="19">
        <f t="shared" si="18"/>
        <v>0</v>
      </c>
      <c r="O105" s="11"/>
      <c r="P105" s="2"/>
      <c r="Q105" s="2"/>
      <c r="R105" s="19">
        <f t="shared" si="19"/>
        <v>0</v>
      </c>
      <c r="S105" s="2"/>
      <c r="T105" s="2">
        <v>0</v>
      </c>
      <c r="U105" s="2"/>
      <c r="V105" s="19">
        <f t="shared" si="20"/>
        <v>0</v>
      </c>
      <c r="W105" s="2"/>
      <c r="X105" s="2">
        <f t="shared" si="21"/>
        <v>0</v>
      </c>
      <c r="Y105" s="2"/>
      <c r="Z105" s="19">
        <f t="shared" si="22"/>
        <v>0</v>
      </c>
    </row>
    <row r="106" spans="1:26" x14ac:dyDescent="0.3">
      <c r="A106" s="9"/>
      <c r="B106" s="10"/>
      <c r="C106" s="10"/>
      <c r="D106" s="3"/>
      <c r="E106" s="3"/>
      <c r="F106" s="6"/>
      <c r="G106" s="3"/>
      <c r="H106" s="3"/>
      <c r="I106" s="3"/>
      <c r="J106" s="6"/>
      <c r="K106" s="3"/>
      <c r="L106" s="3"/>
      <c r="M106" s="3"/>
      <c r="N106" s="6"/>
      <c r="O106" s="10"/>
      <c r="P106" s="3"/>
      <c r="Q106" s="3"/>
      <c r="R106" s="6"/>
      <c r="S106" s="3"/>
      <c r="T106" s="3"/>
      <c r="U106" s="3"/>
      <c r="V106" s="6"/>
      <c r="W106" s="3"/>
      <c r="X106" s="3"/>
      <c r="Y106" s="3"/>
      <c r="Z106" s="6"/>
    </row>
    <row r="107" spans="1:26" s="23" customFormat="1" x14ac:dyDescent="0.3">
      <c r="A107" s="10"/>
      <c r="B107" s="25" t="s">
        <v>107</v>
      </c>
      <c r="C107" s="25"/>
      <c r="D107" s="20">
        <f>D12-D73</f>
        <v>520456.47999999975</v>
      </c>
      <c r="E107" s="13"/>
      <c r="F107" s="22">
        <f>IF(D$12=0,0,D107/D$12)</f>
        <v>0.34403648162511424</v>
      </c>
      <c r="G107" s="13"/>
      <c r="H107" s="20">
        <f>H12-H73</f>
        <v>515666.05000000005</v>
      </c>
      <c r="I107" s="13"/>
      <c r="J107" s="22">
        <f>IF(H$12=0,0,H107/H$12)</f>
        <v>0.32287869648049877</v>
      </c>
      <c r="K107" s="15"/>
      <c r="L107" s="20">
        <f>+D107-H107</f>
        <v>4790.429999999702</v>
      </c>
      <c r="M107" s="15"/>
      <c r="N107" s="22">
        <f>IF(H107=0,0,L107/H107)</f>
        <v>9.2897913290970035E-3</v>
      </c>
      <c r="O107" s="26"/>
      <c r="P107" s="20">
        <f>P12-P73</f>
        <v>613533.26</v>
      </c>
      <c r="Q107" s="13"/>
      <c r="R107" s="22">
        <f>IF(P$12=0,0,P107/P$12)</f>
        <v>0.35396980014921542</v>
      </c>
      <c r="S107" s="13"/>
      <c r="T107" s="20">
        <f>T12-T73</f>
        <v>601938.03</v>
      </c>
      <c r="U107" s="13"/>
      <c r="V107" s="22">
        <f>IF(T$12=0,0,T107/T$12)</f>
        <v>0.32987309604444942</v>
      </c>
      <c r="W107" s="15"/>
      <c r="X107" s="20">
        <f>+P107-T107</f>
        <v>11595.229999999981</v>
      </c>
      <c r="Y107" s="15"/>
      <c r="Z107" s="22">
        <f>IF(T107=0,0,X107/T107)</f>
        <v>1.9263162355766059E-2</v>
      </c>
    </row>
    <row r="108" spans="1:26" x14ac:dyDescent="0.3">
      <c r="A108" s="9"/>
      <c r="B108" s="10"/>
      <c r="C108" s="9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x14ac:dyDescent="0.3">
      <c r="A109" s="10"/>
      <c r="B109" s="26" t="s">
        <v>294</v>
      </c>
      <c r="C109" s="10"/>
      <c r="D109" s="21">
        <f>SUM(OSRRefD22x_0)</f>
        <v>339962.49999999994</v>
      </c>
      <c r="E109" s="21"/>
      <c r="F109" s="32">
        <f t="shared" ref="F109:F120" si="23">IF(D$12=0,0,D109/D$12)</f>
        <v>0.22472484612830249</v>
      </c>
      <c r="G109" s="21"/>
      <c r="H109" s="21">
        <f>SUM(OSRRefH22x_0)</f>
        <v>223887.90000000005</v>
      </c>
      <c r="I109" s="21"/>
      <c r="J109" s="32">
        <f t="shared" ref="J109:J120" si="24">IF(H$12=0,0,H109/H$12)</f>
        <v>0.14018497690463871</v>
      </c>
      <c r="K109" s="4"/>
      <c r="L109" s="21">
        <f t="shared" ref="L109:L120" si="25">+D109-H109</f>
        <v>116074.59999999989</v>
      </c>
      <c r="M109" s="4"/>
      <c r="N109" s="32">
        <f t="shared" ref="N109:N120" si="26">IF(H109=0,0,L109/H109)</f>
        <v>0.51844963483957762</v>
      </c>
      <c r="O109" s="10"/>
      <c r="P109" s="21">
        <f>SUM(OSRRefP22x_0)</f>
        <v>703392.83000000007</v>
      </c>
      <c r="Q109" s="21"/>
      <c r="R109" s="32">
        <f t="shared" ref="R109:R120" si="27">IF(P$12=0,0,P109/P$12)</f>
        <v>0.40581307598791155</v>
      </c>
      <c r="S109" s="21"/>
      <c r="T109" s="21">
        <f>SUM(OSRRefT22x_0)</f>
        <v>542488.70000000007</v>
      </c>
      <c r="U109" s="21"/>
      <c r="V109" s="32">
        <f t="shared" ref="V109:V120" si="28">IF(T$12=0,0,T109/T$12)</f>
        <v>0.29729377131750345</v>
      </c>
      <c r="W109" s="4"/>
      <c r="X109" s="21">
        <f t="shared" ref="X109:X120" si="29">+P109-T109</f>
        <v>160904.13</v>
      </c>
      <c r="Y109" s="4"/>
      <c r="Z109" s="32">
        <f t="shared" ref="Z109:Z120" si="30">IF(T109=0,0,X109/T109)</f>
        <v>0.29660365275811273</v>
      </c>
    </row>
    <row r="110" spans="1:26" s="28" customFormat="1" outlineLevel="1" collapsed="1" x14ac:dyDescent="0.3">
      <c r="A110" s="29"/>
      <c r="B110" s="14" t="str">
        <f>CONCATENATE("     ","*Benefits                                         ")</f>
        <v xml:space="preserve">     *Benefits                                         </v>
      </c>
      <c r="C110" s="14"/>
      <c r="D110" s="1">
        <f>SUM(OSRRefD22_0x_0)</f>
        <v>52095.850000000006</v>
      </c>
      <c r="E110" s="1"/>
      <c r="F110" s="5">
        <f t="shared" si="23"/>
        <v>3.4436833107101904E-2</v>
      </c>
      <c r="G110" s="1"/>
      <c r="H110" s="1">
        <f>SUM(OSRRefH22_0x_0)</f>
        <v>45446.26</v>
      </c>
      <c r="I110" s="1"/>
      <c r="J110" s="5">
        <f t="shared" si="24"/>
        <v>2.8455682100293072E-2</v>
      </c>
      <c r="K110" s="1"/>
      <c r="L110" s="1">
        <f t="shared" si="25"/>
        <v>6649.5900000000038</v>
      </c>
      <c r="M110" s="1"/>
      <c r="N110" s="5">
        <f t="shared" si="26"/>
        <v>0.14631765078138451</v>
      </c>
      <c r="O110" s="14"/>
      <c r="P110" s="1">
        <f>SUM(OSRRefP22_0x_0)</f>
        <v>99522.21</v>
      </c>
      <c r="Q110" s="1"/>
      <c r="R110" s="5">
        <f t="shared" si="27"/>
        <v>5.7418006619736069E-2</v>
      </c>
      <c r="S110" s="1"/>
      <c r="T110" s="1">
        <f>SUM(OSRRefT22_0x_0)</f>
        <v>86112.73</v>
      </c>
      <c r="U110" s="1"/>
      <c r="V110" s="5">
        <f t="shared" si="28"/>
        <v>4.7191357645137884E-2</v>
      </c>
      <c r="W110" s="1"/>
      <c r="X110" s="1">
        <f t="shared" si="29"/>
        <v>13409.48000000001</v>
      </c>
      <c r="Y110" s="1"/>
      <c r="Z110" s="5">
        <f t="shared" si="30"/>
        <v>0.15572006601114621</v>
      </c>
    </row>
    <row r="111" spans="1:26" s="24" customFormat="1" hidden="1" outlineLevel="2" x14ac:dyDescent="0.3">
      <c r="A111" s="27"/>
      <c r="B111" s="11" t="str">
        <f>CONCATENATE("          ", "6111", " - ", "F.I.C.A.")</f>
        <v xml:space="preserve">          6111 - F.I.C.A.</v>
      </c>
      <c r="C111" s="11"/>
      <c r="D111" s="7">
        <v>12320.03</v>
      </c>
      <c r="E111" s="2"/>
      <c r="F111" s="8">
        <f t="shared" si="23"/>
        <v>8.1438889467105088E-3</v>
      </c>
      <c r="G111" s="2"/>
      <c r="H111" s="7">
        <v>10736.45</v>
      </c>
      <c r="I111" s="2"/>
      <c r="J111" s="8">
        <f t="shared" si="24"/>
        <v>6.7225115572918772E-3</v>
      </c>
      <c r="K111" s="2"/>
      <c r="L111" s="7">
        <f t="shared" si="25"/>
        <v>1583.58</v>
      </c>
      <c r="M111" s="2"/>
      <c r="N111" s="8">
        <f t="shared" si="26"/>
        <v>0.1474956806020612</v>
      </c>
      <c r="O111" s="11"/>
      <c r="P111" s="7">
        <v>21948.04</v>
      </c>
      <c r="Q111" s="2"/>
      <c r="R111" s="8">
        <f t="shared" si="27"/>
        <v>1.2662627829609412E-2</v>
      </c>
      <c r="S111" s="2"/>
      <c r="T111" s="7">
        <v>18303.39</v>
      </c>
      <c r="U111" s="2"/>
      <c r="V111" s="8">
        <f t="shared" si="28"/>
        <v>1.003059389254574E-2</v>
      </c>
      <c r="W111" s="2"/>
      <c r="X111" s="7">
        <f t="shared" si="29"/>
        <v>3644.6500000000015</v>
      </c>
      <c r="Y111" s="2"/>
      <c r="Z111" s="8">
        <f t="shared" si="30"/>
        <v>0.19912431522248072</v>
      </c>
    </row>
    <row r="112" spans="1:26" s="24" customFormat="1" hidden="1" outlineLevel="2" x14ac:dyDescent="0.3">
      <c r="A112" s="27"/>
      <c r="B112" s="11" t="str">
        <f>CONCATENATE("          ", "6112", " - ", "COMPENSATION INSURANCE")</f>
        <v xml:space="preserve">          6112 - COMPENSATION INSURANCE</v>
      </c>
      <c r="C112" s="11"/>
      <c r="D112" s="7">
        <v>2539.5500000000002</v>
      </c>
      <c r="E112" s="2"/>
      <c r="F112" s="8">
        <f t="shared" si="23"/>
        <v>1.678714514057082E-3</v>
      </c>
      <c r="G112" s="2"/>
      <c r="H112" s="7">
        <v>2365.1</v>
      </c>
      <c r="I112" s="2"/>
      <c r="J112" s="8">
        <f t="shared" si="24"/>
        <v>1.4808816772910057E-3</v>
      </c>
      <c r="K112" s="2"/>
      <c r="L112" s="7">
        <f t="shared" si="25"/>
        <v>174.45000000000027</v>
      </c>
      <c r="M112" s="2"/>
      <c r="N112" s="8">
        <f t="shared" si="26"/>
        <v>7.3760094710583174E-2</v>
      </c>
      <c r="O112" s="11"/>
      <c r="P112" s="7">
        <v>4512.96</v>
      </c>
      <c r="Q112" s="2"/>
      <c r="R112" s="8">
        <f t="shared" si="27"/>
        <v>2.60369185084017E-3</v>
      </c>
      <c r="S112" s="2"/>
      <c r="T112" s="7">
        <v>4144.13</v>
      </c>
      <c r="U112" s="2"/>
      <c r="V112" s="8">
        <f t="shared" si="28"/>
        <v>2.2710593539183497E-3</v>
      </c>
      <c r="W112" s="2"/>
      <c r="X112" s="7">
        <f t="shared" si="29"/>
        <v>368.82999999999993</v>
      </c>
      <c r="Y112" s="2"/>
      <c r="Z112" s="8">
        <f t="shared" si="30"/>
        <v>8.9000586371566506E-2</v>
      </c>
    </row>
    <row r="113" spans="1:26" s="24" customFormat="1" hidden="1" outlineLevel="2" x14ac:dyDescent="0.3">
      <c r="A113" s="27"/>
      <c r="B113" s="11" t="str">
        <f>CONCATENATE("          ", "6113", " - ", "GROUP INSURANCE")</f>
        <v xml:space="preserve">          6113 - GROUP INSURANCE</v>
      </c>
      <c r="C113" s="11"/>
      <c r="D113" s="7">
        <v>17896.5</v>
      </c>
      <c r="E113" s="2"/>
      <c r="F113" s="8">
        <f t="shared" si="23"/>
        <v>1.1830093638960669E-2</v>
      </c>
      <c r="G113" s="2"/>
      <c r="H113" s="7">
        <v>15535.39</v>
      </c>
      <c r="I113" s="2"/>
      <c r="J113" s="8">
        <f t="shared" si="24"/>
        <v>9.7273157162783459E-3</v>
      </c>
      <c r="K113" s="2"/>
      <c r="L113" s="7">
        <f t="shared" si="25"/>
        <v>2361.1100000000006</v>
      </c>
      <c r="M113" s="2"/>
      <c r="N113" s="8">
        <f t="shared" si="26"/>
        <v>0.15198266667267449</v>
      </c>
      <c r="O113" s="11"/>
      <c r="P113" s="7">
        <v>35793</v>
      </c>
      <c r="Q113" s="2"/>
      <c r="R113" s="8">
        <f t="shared" si="27"/>
        <v>2.0650292140218882E-2</v>
      </c>
      <c r="S113" s="2"/>
      <c r="T113" s="7">
        <v>29004.07</v>
      </c>
      <c r="U113" s="2"/>
      <c r="V113" s="8">
        <f t="shared" si="28"/>
        <v>1.5894763068533706E-2</v>
      </c>
      <c r="W113" s="2"/>
      <c r="X113" s="7">
        <f t="shared" si="29"/>
        <v>6788.93</v>
      </c>
      <c r="Y113" s="2"/>
      <c r="Z113" s="8">
        <f t="shared" si="30"/>
        <v>0.23406818422380032</v>
      </c>
    </row>
    <row r="114" spans="1:26" s="24" customFormat="1" hidden="1" outlineLevel="2" x14ac:dyDescent="0.3">
      <c r="A114" s="27"/>
      <c r="B114" s="11" t="str">
        <f>CONCATENATE("          ", "6114", " - ", "STATE UNEMPLOYMENT INSURANCE")</f>
        <v xml:space="preserve">          6114 - STATE UNEMPLOYMENT INSURANCE</v>
      </c>
      <c r="C114" s="11"/>
      <c r="D114" s="7">
        <v>460.58</v>
      </c>
      <c r="E114" s="2"/>
      <c r="F114" s="8">
        <f t="shared" si="23"/>
        <v>3.0445643160576115E-4</v>
      </c>
      <c r="G114" s="2"/>
      <c r="H114" s="7">
        <v>373.18</v>
      </c>
      <c r="I114" s="2"/>
      <c r="J114" s="8">
        <f t="shared" si="24"/>
        <v>2.3366260383554926E-4</v>
      </c>
      <c r="K114" s="2"/>
      <c r="L114" s="7">
        <f t="shared" si="25"/>
        <v>87.399999999999977</v>
      </c>
      <c r="M114" s="2"/>
      <c r="N114" s="8">
        <f t="shared" si="26"/>
        <v>0.23420333351197806</v>
      </c>
      <c r="O114" s="11"/>
      <c r="P114" s="7">
        <v>818.11</v>
      </c>
      <c r="Q114" s="2"/>
      <c r="R114" s="8">
        <f t="shared" si="27"/>
        <v>4.7199761134396307E-4</v>
      </c>
      <c r="S114" s="2"/>
      <c r="T114" s="7">
        <v>648.27</v>
      </c>
      <c r="U114" s="2"/>
      <c r="V114" s="8">
        <f t="shared" si="28"/>
        <v>3.5526386656901411E-4</v>
      </c>
      <c r="W114" s="2"/>
      <c r="X114" s="7">
        <f t="shared" si="29"/>
        <v>169.84000000000003</v>
      </c>
      <c r="Y114" s="2"/>
      <c r="Z114" s="8">
        <f t="shared" si="30"/>
        <v>0.26198960309747488</v>
      </c>
    </row>
    <row r="115" spans="1:26" s="24" customFormat="1" hidden="1" outlineLevel="2" x14ac:dyDescent="0.3">
      <c r="A115" s="27"/>
      <c r="B115" s="11" t="str">
        <f>CONCATENATE("          ", "6115", " - ", "P.E.R.S.")</f>
        <v xml:space="preserve">          6115 - P.E.R.S.</v>
      </c>
      <c r="C115" s="11"/>
      <c r="D115" s="7">
        <v>6296.23</v>
      </c>
      <c r="E115" s="2"/>
      <c r="F115" s="8">
        <f t="shared" si="23"/>
        <v>4.1619864483241594E-3</v>
      </c>
      <c r="G115" s="2"/>
      <c r="H115" s="7">
        <v>6155.57</v>
      </c>
      <c r="I115" s="2"/>
      <c r="J115" s="8">
        <f t="shared" si="24"/>
        <v>3.8542432989227497E-3</v>
      </c>
      <c r="K115" s="2"/>
      <c r="L115" s="7">
        <f t="shared" si="25"/>
        <v>140.65999999999985</v>
      </c>
      <c r="M115" s="2"/>
      <c r="N115" s="8">
        <f t="shared" si="26"/>
        <v>2.2850848905950197E-2</v>
      </c>
      <c r="O115" s="11"/>
      <c r="P115" s="7">
        <v>12592.46</v>
      </c>
      <c r="Q115" s="2"/>
      <c r="R115" s="8">
        <f t="shared" si="27"/>
        <v>7.2650512045377771E-3</v>
      </c>
      <c r="S115" s="2"/>
      <c r="T115" s="7">
        <v>14314.06</v>
      </c>
      <c r="U115" s="2"/>
      <c r="V115" s="8">
        <f t="shared" si="28"/>
        <v>7.8443677817897819E-3</v>
      </c>
      <c r="W115" s="2"/>
      <c r="X115" s="7">
        <f t="shared" si="29"/>
        <v>-1721.6000000000004</v>
      </c>
      <c r="Y115" s="2"/>
      <c r="Z115" s="8">
        <f t="shared" si="30"/>
        <v>-0.12027335361176357</v>
      </c>
    </row>
    <row r="116" spans="1:26" s="24" customFormat="1" hidden="1" outlineLevel="2" x14ac:dyDescent="0.3">
      <c r="A116" s="27"/>
      <c r="B116" s="11" t="str">
        <f>CONCATENATE("          ", "6116", " - ", "EDUCATIONAL BENEFITS")</f>
        <v xml:space="preserve">          6116 - EDUCATIONAL BENEFITS</v>
      </c>
      <c r="C116" s="11"/>
      <c r="D116" s="7"/>
      <c r="E116" s="2"/>
      <c r="F116" s="8">
        <f t="shared" si="23"/>
        <v>0</v>
      </c>
      <c r="G116" s="2"/>
      <c r="H116" s="7"/>
      <c r="I116" s="2"/>
      <c r="J116" s="8">
        <f t="shared" si="24"/>
        <v>0</v>
      </c>
      <c r="K116" s="2"/>
      <c r="L116" s="7">
        <f t="shared" si="25"/>
        <v>0</v>
      </c>
      <c r="M116" s="2"/>
      <c r="N116" s="8">
        <f t="shared" si="26"/>
        <v>0</v>
      </c>
      <c r="O116" s="11"/>
      <c r="P116" s="7"/>
      <c r="Q116" s="2"/>
      <c r="R116" s="8">
        <f t="shared" si="27"/>
        <v>0</v>
      </c>
      <c r="S116" s="2"/>
      <c r="T116" s="7">
        <v>0</v>
      </c>
      <c r="U116" s="2"/>
      <c r="V116" s="8">
        <f t="shared" si="28"/>
        <v>0</v>
      </c>
      <c r="W116" s="2"/>
      <c r="X116" s="7">
        <f t="shared" si="29"/>
        <v>0</v>
      </c>
      <c r="Y116" s="2"/>
      <c r="Z116" s="8">
        <f t="shared" si="30"/>
        <v>0</v>
      </c>
    </row>
    <row r="117" spans="1:26" s="24" customFormat="1" hidden="1" outlineLevel="2" x14ac:dyDescent="0.3">
      <c r="A117" s="27"/>
      <c r="B117" s="11" t="str">
        <f>CONCATENATE("          ", "6117", " - ", "RETIREMENT STAFF HOURLY")</f>
        <v xml:space="preserve">          6117 - RETIREMENT STAFF HOURLY</v>
      </c>
      <c r="C117" s="11"/>
      <c r="D117" s="7">
        <v>962.68</v>
      </c>
      <c r="E117" s="2"/>
      <c r="F117" s="8">
        <f t="shared" si="23"/>
        <v>6.3635875977731155E-4</v>
      </c>
      <c r="G117" s="2"/>
      <c r="H117" s="7">
        <v>255.65</v>
      </c>
      <c r="I117" s="2"/>
      <c r="J117" s="8">
        <f t="shared" si="24"/>
        <v>1.6007247084666424E-4</v>
      </c>
      <c r="K117" s="2"/>
      <c r="L117" s="7">
        <f t="shared" si="25"/>
        <v>707.03</v>
      </c>
      <c r="M117" s="2"/>
      <c r="N117" s="8">
        <f t="shared" si="26"/>
        <v>2.7656170545667904</v>
      </c>
      <c r="O117" s="11"/>
      <c r="P117" s="7">
        <v>1515.53</v>
      </c>
      <c r="Q117" s="2"/>
      <c r="R117" s="8">
        <f t="shared" si="27"/>
        <v>8.7436474302980812E-4</v>
      </c>
      <c r="S117" s="2"/>
      <c r="T117" s="7">
        <v>588.79</v>
      </c>
      <c r="U117" s="2"/>
      <c r="V117" s="8">
        <f t="shared" si="28"/>
        <v>3.2266773411876193E-4</v>
      </c>
      <c r="W117" s="2"/>
      <c r="X117" s="7">
        <f t="shared" si="29"/>
        <v>926.74</v>
      </c>
      <c r="Y117" s="2"/>
      <c r="Z117" s="8">
        <f t="shared" si="30"/>
        <v>1.5739737427605769</v>
      </c>
    </row>
    <row r="118" spans="1:26" s="24" customFormat="1" hidden="1" outlineLevel="2" x14ac:dyDescent="0.3">
      <c r="A118" s="27"/>
      <c r="B118" s="11" t="str">
        <f>CONCATENATE("          ", "6118", " - ", "VACATION")</f>
        <v xml:space="preserve">          6118 - VACATION</v>
      </c>
      <c r="C118" s="11"/>
      <c r="D118" s="7">
        <v>5549.94</v>
      </c>
      <c r="E118" s="2"/>
      <c r="F118" s="8">
        <f t="shared" si="23"/>
        <v>3.6686676104608928E-3</v>
      </c>
      <c r="G118" s="2"/>
      <c r="H118" s="7">
        <v>4990.96</v>
      </c>
      <c r="I118" s="2"/>
      <c r="J118" s="8">
        <f t="shared" si="24"/>
        <v>3.1250353964281923E-3</v>
      </c>
      <c r="K118" s="2"/>
      <c r="L118" s="7">
        <f t="shared" si="25"/>
        <v>558.97999999999956</v>
      </c>
      <c r="M118" s="2"/>
      <c r="N118" s="8">
        <f t="shared" si="26"/>
        <v>0.11199849327584263</v>
      </c>
      <c r="O118" s="11"/>
      <c r="P118" s="7">
        <v>10950.73</v>
      </c>
      <c r="Q118" s="2"/>
      <c r="R118" s="8">
        <f t="shared" si="27"/>
        <v>6.3178770611197477E-3</v>
      </c>
      <c r="S118" s="2"/>
      <c r="T118" s="7">
        <v>9724.66</v>
      </c>
      <c r="U118" s="2"/>
      <c r="V118" s="8">
        <f t="shared" si="28"/>
        <v>5.3292922897388876E-3</v>
      </c>
      <c r="W118" s="2"/>
      <c r="X118" s="7">
        <f t="shared" si="29"/>
        <v>1226.0699999999997</v>
      </c>
      <c r="Y118" s="2"/>
      <c r="Z118" s="8">
        <f t="shared" si="30"/>
        <v>0.12607844387361611</v>
      </c>
    </row>
    <row r="119" spans="1:26" s="24" customFormat="1" hidden="1" outlineLevel="2" x14ac:dyDescent="0.3">
      <c r="A119" s="27"/>
      <c r="B119" s="11" t="str">
        <f>CONCATENATE("          ", "6119", " - ", "SICK LEAVE")</f>
        <v xml:space="preserve">          6119 - SICK LEAVE</v>
      </c>
      <c r="C119" s="11"/>
      <c r="D119" s="7">
        <v>3886.05</v>
      </c>
      <c r="E119" s="2"/>
      <c r="F119" s="8">
        <f t="shared" si="23"/>
        <v>2.5687891702669855E-3</v>
      </c>
      <c r="G119" s="2"/>
      <c r="H119" s="7">
        <v>3619.21</v>
      </c>
      <c r="I119" s="2"/>
      <c r="J119" s="8">
        <f t="shared" si="24"/>
        <v>2.2661290327125197E-3</v>
      </c>
      <c r="K119" s="2"/>
      <c r="L119" s="7">
        <f t="shared" si="25"/>
        <v>266.84000000000015</v>
      </c>
      <c r="M119" s="2"/>
      <c r="N119" s="8">
        <f t="shared" si="26"/>
        <v>7.3728797168442883E-2</v>
      </c>
      <c r="O119" s="11"/>
      <c r="P119" s="7">
        <v>7772.1</v>
      </c>
      <c r="Q119" s="2"/>
      <c r="R119" s="8">
        <f t="shared" si="27"/>
        <v>4.4840090392812889E-3</v>
      </c>
      <c r="S119" s="2"/>
      <c r="T119" s="7">
        <v>6955.19</v>
      </c>
      <c r="U119" s="2"/>
      <c r="V119" s="8">
        <f t="shared" si="28"/>
        <v>3.8115718637637729E-3</v>
      </c>
      <c r="W119" s="2"/>
      <c r="X119" s="7">
        <f t="shared" si="29"/>
        <v>816.91000000000076</v>
      </c>
      <c r="Y119" s="2"/>
      <c r="Z119" s="8">
        <f t="shared" si="30"/>
        <v>0.1174532974656337</v>
      </c>
    </row>
    <row r="120" spans="1:26" s="24" customFormat="1" hidden="1" outlineLevel="2" x14ac:dyDescent="0.3">
      <c r="A120" s="27"/>
      <c r="B120" s="11" t="str">
        <f>CONCATENATE("          ", "6156", " - ", "EMPLOYEE MEALS")</f>
        <v xml:space="preserve">          6156 - EMPLOYEE MEALS</v>
      </c>
      <c r="C120" s="11"/>
      <c r="D120" s="7">
        <v>2184.29</v>
      </c>
      <c r="E120" s="2"/>
      <c r="F120" s="8">
        <f t="shared" si="23"/>
        <v>1.4438775869385298E-3</v>
      </c>
      <c r="G120" s="2"/>
      <c r="H120" s="7">
        <v>1414.75</v>
      </c>
      <c r="I120" s="2"/>
      <c r="J120" s="8">
        <f t="shared" si="24"/>
        <v>8.8583034668616566E-4</v>
      </c>
      <c r="K120" s="2"/>
      <c r="L120" s="7">
        <f t="shared" si="25"/>
        <v>769.54</v>
      </c>
      <c r="M120" s="2"/>
      <c r="N120" s="8">
        <f t="shared" si="26"/>
        <v>0.54394062555221767</v>
      </c>
      <c r="O120" s="11"/>
      <c r="P120" s="7">
        <v>3619.28</v>
      </c>
      <c r="Q120" s="2"/>
      <c r="R120" s="8">
        <f t="shared" si="27"/>
        <v>2.0880951397550191E-3</v>
      </c>
      <c r="S120" s="2"/>
      <c r="T120" s="7">
        <v>2430.17</v>
      </c>
      <c r="U120" s="2"/>
      <c r="V120" s="8">
        <f t="shared" si="28"/>
        <v>1.3317777941598732E-3</v>
      </c>
      <c r="W120" s="2"/>
      <c r="X120" s="7">
        <f t="shared" si="29"/>
        <v>1189.1100000000001</v>
      </c>
      <c r="Y120" s="2"/>
      <c r="Z120" s="8">
        <f t="shared" si="30"/>
        <v>0.48931144734730497</v>
      </c>
    </row>
    <row r="121" spans="1:26" s="28" customFormat="1" outlineLevel="1" collapsed="1" x14ac:dyDescent="0.3">
      <c r="A121" s="29"/>
      <c r="B121" s="14" t="str">
        <f>CONCATENATE("     ","*Payroll                                          ")</f>
        <v xml:space="preserve">     *Payroll                                          </v>
      </c>
      <c r="C121" s="14"/>
      <c r="D121" s="1">
        <f>SUM(OSRRefD22_1x_0)</f>
        <v>186593.31999999998</v>
      </c>
      <c r="E121" s="1"/>
      <c r="F121" s="5">
        <f t="shared" ref="F121:F128" si="31">IF(D$12=0,0,D121/D$12)</f>
        <v>0.12334347207579986</v>
      </c>
      <c r="G121" s="1"/>
      <c r="H121" s="1">
        <f>SUM(OSRRefH22_1x_0)</f>
        <v>159836.01</v>
      </c>
      <c r="I121" s="1"/>
      <c r="J121" s="5">
        <f t="shared" ref="J121:J128" si="32">IF(H$12=0,0,H121/H$12)</f>
        <v>0.10007958165840851</v>
      </c>
      <c r="K121" s="1"/>
      <c r="L121" s="1">
        <f t="shared" ref="L121:L128" si="33">+D121-H121</f>
        <v>26757.309999999969</v>
      </c>
      <c r="M121" s="1"/>
      <c r="N121" s="5">
        <f t="shared" ref="N121:N128" si="34">IF(H121=0,0,L121/H121)</f>
        <v>0.16740476692329825</v>
      </c>
      <c r="O121" s="14"/>
      <c r="P121" s="1">
        <f>SUM(OSRRefP22_1x_0)</f>
        <v>352865.91000000003</v>
      </c>
      <c r="Q121" s="1"/>
      <c r="R121" s="5">
        <f t="shared" ref="R121:R128" si="35">IF(P$12=0,0,P121/P$12)</f>
        <v>0.20358126247657879</v>
      </c>
      <c r="S121" s="1"/>
      <c r="T121" s="1">
        <f>SUM(OSRRefT22_1x_0)</f>
        <v>280313.57000000007</v>
      </c>
      <c r="U121" s="1"/>
      <c r="V121" s="5">
        <f t="shared" ref="V121:V128" si="36">IF(T$12=0,0,T121/T$12)</f>
        <v>0.1536169847902325</v>
      </c>
      <c r="W121" s="1"/>
      <c r="X121" s="1">
        <f t="shared" ref="X121:X128" si="37">+P121-T121</f>
        <v>72552.339999999967</v>
      </c>
      <c r="Y121" s="1"/>
      <c r="Z121" s="5">
        <f t="shared" ref="Z121:Z128" si="38">IF(T121=0,0,X121/T121)</f>
        <v>0.25882564301114624</v>
      </c>
    </row>
    <row r="122" spans="1:26" s="24" customFormat="1" hidden="1" outlineLevel="2" x14ac:dyDescent="0.3">
      <c r="A122" s="27"/>
      <c r="B122" s="11" t="str">
        <f>CONCATENATE("          ", "6001", " - ", "ADMINISTRATIVE SALARIES")</f>
        <v xml:space="preserve">          6001 - ADMINISTRATIVE SALARIES</v>
      </c>
      <c r="C122" s="11"/>
      <c r="D122" s="7">
        <v>4479.1000000000004</v>
      </c>
      <c r="E122" s="2"/>
      <c r="F122" s="8">
        <f t="shared" si="31"/>
        <v>2.960812025718366E-3</v>
      </c>
      <c r="G122" s="2"/>
      <c r="H122" s="7">
        <v>4205.74</v>
      </c>
      <c r="I122" s="2"/>
      <c r="J122" s="8">
        <f t="shared" si="32"/>
        <v>2.6333784218214341E-3</v>
      </c>
      <c r="K122" s="2"/>
      <c r="L122" s="7">
        <f t="shared" si="33"/>
        <v>273.36000000000058</v>
      </c>
      <c r="M122" s="2"/>
      <c r="N122" s="8">
        <f t="shared" si="34"/>
        <v>6.4996885209261765E-2</v>
      </c>
      <c r="O122" s="11"/>
      <c r="P122" s="7">
        <v>10078.200000000001</v>
      </c>
      <c r="Q122" s="2"/>
      <c r="R122" s="8">
        <f t="shared" si="35"/>
        <v>5.8144825593706576E-3</v>
      </c>
      <c r="S122" s="2"/>
      <c r="T122" s="7">
        <v>8731.59</v>
      </c>
      <c r="U122" s="2"/>
      <c r="V122" s="8">
        <f t="shared" si="36"/>
        <v>4.7850716903378807E-3</v>
      </c>
      <c r="W122" s="2"/>
      <c r="X122" s="7">
        <f t="shared" si="37"/>
        <v>1346.6100000000006</v>
      </c>
      <c r="Y122" s="2"/>
      <c r="Z122" s="8">
        <f t="shared" si="38"/>
        <v>0.1542227704232563</v>
      </c>
    </row>
    <row r="123" spans="1:26" s="24" customFormat="1" hidden="1" outlineLevel="2" x14ac:dyDescent="0.3">
      <c r="A123" s="27"/>
      <c r="B123" s="11" t="str">
        <f>CONCATENATE("          ", "6002", " - ", "STAFF SALARIES")</f>
        <v xml:space="preserve">          6002 - STAFF SALARIES</v>
      </c>
      <c r="C123" s="11"/>
      <c r="D123" s="7">
        <v>58749.01</v>
      </c>
      <c r="E123" s="2"/>
      <c r="F123" s="8">
        <f t="shared" si="31"/>
        <v>3.8834760399867947E-2</v>
      </c>
      <c r="G123" s="2"/>
      <c r="H123" s="7">
        <v>54058.76</v>
      </c>
      <c r="I123" s="2"/>
      <c r="J123" s="8">
        <f t="shared" si="32"/>
        <v>3.3848305433627303E-2</v>
      </c>
      <c r="K123" s="2"/>
      <c r="L123" s="7">
        <f t="shared" si="33"/>
        <v>4690.25</v>
      </c>
      <c r="M123" s="2"/>
      <c r="N123" s="8">
        <f t="shared" si="34"/>
        <v>8.6762071494055723E-2</v>
      </c>
      <c r="O123" s="11"/>
      <c r="P123" s="7">
        <v>127285.75</v>
      </c>
      <c r="Q123" s="2"/>
      <c r="R123" s="8">
        <f t="shared" si="35"/>
        <v>7.3435809314303518E-2</v>
      </c>
      <c r="S123" s="2"/>
      <c r="T123" s="7">
        <v>118495.16</v>
      </c>
      <c r="U123" s="2"/>
      <c r="V123" s="8">
        <f t="shared" si="36"/>
        <v>6.4937524042935776E-2</v>
      </c>
      <c r="W123" s="2"/>
      <c r="X123" s="7">
        <f t="shared" si="37"/>
        <v>8790.5899999999965</v>
      </c>
      <c r="Y123" s="2"/>
      <c r="Z123" s="8">
        <f t="shared" si="38"/>
        <v>7.4185224105355829E-2</v>
      </c>
    </row>
    <row r="124" spans="1:26" s="24" customFormat="1" hidden="1" outlineLevel="2" x14ac:dyDescent="0.3">
      <c r="A124" s="27"/>
      <c r="B124" s="11" t="str">
        <f>CONCATENATE("          ", "6004", " - ", "STAFF HOURLY")</f>
        <v xml:space="preserve">          6004 - STAFF HOURLY</v>
      </c>
      <c r="C124" s="11"/>
      <c r="D124" s="7">
        <v>19678.82</v>
      </c>
      <c r="E124" s="2"/>
      <c r="F124" s="8">
        <f t="shared" si="31"/>
        <v>1.3008257665144133E-2</v>
      </c>
      <c r="G124" s="2"/>
      <c r="H124" s="7">
        <v>13876.36</v>
      </c>
      <c r="I124" s="2"/>
      <c r="J124" s="8">
        <f t="shared" si="32"/>
        <v>8.6885321007542267E-3</v>
      </c>
      <c r="K124" s="2"/>
      <c r="L124" s="7">
        <f t="shared" si="33"/>
        <v>5802.4599999999991</v>
      </c>
      <c r="M124" s="2"/>
      <c r="N124" s="8">
        <f t="shared" si="34"/>
        <v>0.41815432865679464</v>
      </c>
      <c r="O124" s="11"/>
      <c r="P124" s="7">
        <v>37763.199999999997</v>
      </c>
      <c r="Q124" s="2"/>
      <c r="R124" s="8">
        <f t="shared" si="35"/>
        <v>2.1786972652460358E-2</v>
      </c>
      <c r="S124" s="2"/>
      <c r="T124" s="7">
        <v>29589.88</v>
      </c>
      <c r="U124" s="2"/>
      <c r="V124" s="8">
        <f t="shared" si="36"/>
        <v>1.6215797707919755E-2</v>
      </c>
      <c r="W124" s="2"/>
      <c r="X124" s="7">
        <f t="shared" si="37"/>
        <v>8173.3199999999961</v>
      </c>
      <c r="Y124" s="2"/>
      <c r="Z124" s="8">
        <f t="shared" si="38"/>
        <v>0.27622011309271938</v>
      </c>
    </row>
    <row r="125" spans="1:26" s="24" customFormat="1" hidden="1" outlineLevel="2" x14ac:dyDescent="0.3">
      <c r="A125" s="27"/>
      <c r="B125" s="11" t="str">
        <f>CONCATENATE("          ", "6005", " - ", "TEMPORARY WAGES-HOURLY")</f>
        <v xml:space="preserve">          6005 - TEMPORARY WAGES-HOURLY</v>
      </c>
      <c r="C125" s="11"/>
      <c r="D125" s="7">
        <v>9622.7900000000009</v>
      </c>
      <c r="E125" s="2"/>
      <c r="F125" s="8">
        <f t="shared" si="31"/>
        <v>6.3609368741404373E-3</v>
      </c>
      <c r="G125" s="2"/>
      <c r="H125" s="7">
        <v>22505.49</v>
      </c>
      <c r="I125" s="2"/>
      <c r="J125" s="8">
        <f t="shared" si="32"/>
        <v>1.409156812796751E-2</v>
      </c>
      <c r="K125" s="2"/>
      <c r="L125" s="7">
        <f t="shared" si="33"/>
        <v>-12882.7</v>
      </c>
      <c r="M125" s="2"/>
      <c r="N125" s="8">
        <f t="shared" si="34"/>
        <v>-0.57242477279988124</v>
      </c>
      <c r="O125" s="11"/>
      <c r="P125" s="7">
        <v>19070.59</v>
      </c>
      <c r="Q125" s="2"/>
      <c r="R125" s="8">
        <f t="shared" si="35"/>
        <v>1.1002521576462906E-2</v>
      </c>
      <c r="S125" s="2"/>
      <c r="T125" s="7">
        <v>34891.040000000001</v>
      </c>
      <c r="U125" s="2"/>
      <c r="V125" s="8">
        <f t="shared" si="36"/>
        <v>1.9120930752640312E-2</v>
      </c>
      <c r="W125" s="2"/>
      <c r="X125" s="7">
        <f t="shared" si="37"/>
        <v>-15820.45</v>
      </c>
      <c r="Y125" s="2"/>
      <c r="Z125" s="8">
        <f t="shared" si="38"/>
        <v>-0.45342443217513723</v>
      </c>
    </row>
    <row r="126" spans="1:26" s="24" customFormat="1" hidden="1" outlineLevel="2" x14ac:dyDescent="0.3">
      <c r="A126" s="27"/>
      <c r="B126" s="11" t="str">
        <f>CONCATENATE("          ", "6006", " - ", "TEMPORARY PART TIME")</f>
        <v xml:space="preserve">          6006 - TEMPORARY PART TIME</v>
      </c>
      <c r="C126" s="11"/>
      <c r="D126" s="7">
        <v>3273.79</v>
      </c>
      <c r="E126" s="2"/>
      <c r="F126" s="8">
        <f t="shared" si="31"/>
        <v>2.1640679604555666E-3</v>
      </c>
      <c r="G126" s="2"/>
      <c r="H126" s="7">
        <v>1927.34</v>
      </c>
      <c r="I126" s="2"/>
      <c r="J126" s="8">
        <f t="shared" si="32"/>
        <v>1.2067830078686089E-3</v>
      </c>
      <c r="K126" s="2"/>
      <c r="L126" s="7">
        <f t="shared" si="33"/>
        <v>1346.45</v>
      </c>
      <c r="M126" s="2"/>
      <c r="N126" s="8">
        <f t="shared" si="34"/>
        <v>0.69860533170068595</v>
      </c>
      <c r="O126" s="11"/>
      <c r="P126" s="7">
        <v>6138.19</v>
      </c>
      <c r="Q126" s="2"/>
      <c r="R126" s="8">
        <f t="shared" si="35"/>
        <v>3.5413465401662376E-3</v>
      </c>
      <c r="S126" s="2"/>
      <c r="T126" s="7">
        <v>3975.55</v>
      </c>
      <c r="U126" s="2"/>
      <c r="V126" s="8">
        <f t="shared" si="36"/>
        <v>2.1786744176630788E-3</v>
      </c>
      <c r="W126" s="2"/>
      <c r="X126" s="7">
        <f t="shared" si="37"/>
        <v>2162.6399999999994</v>
      </c>
      <c r="Y126" s="2"/>
      <c r="Z126" s="8">
        <f t="shared" si="38"/>
        <v>0.54398510897863173</v>
      </c>
    </row>
    <row r="127" spans="1:26" s="24" customFormat="1" hidden="1" outlineLevel="2" x14ac:dyDescent="0.3">
      <c r="A127" s="27"/>
      <c r="B127" s="11" t="str">
        <f>CONCATENATE("          ", "6007", " - ", "STUDENT HOURLY")</f>
        <v xml:space="preserve">          6007 - STUDENT HOURLY</v>
      </c>
      <c r="C127" s="11"/>
      <c r="D127" s="7">
        <v>76510.509999999995</v>
      </c>
      <c r="E127" s="2"/>
      <c r="F127" s="8">
        <f t="shared" si="31"/>
        <v>5.0575615213289557E-2</v>
      </c>
      <c r="G127" s="2"/>
      <c r="H127" s="7">
        <v>62829.29</v>
      </c>
      <c r="I127" s="2"/>
      <c r="J127" s="8">
        <f t="shared" si="32"/>
        <v>3.9339877535073786E-2</v>
      </c>
      <c r="K127" s="2"/>
      <c r="L127" s="7">
        <f t="shared" si="33"/>
        <v>13681.219999999994</v>
      </c>
      <c r="M127" s="2"/>
      <c r="N127" s="8">
        <f t="shared" si="34"/>
        <v>0.21775226172379147</v>
      </c>
      <c r="O127" s="11"/>
      <c r="P127" s="7">
        <v>128466.33</v>
      </c>
      <c r="Q127" s="2"/>
      <c r="R127" s="8">
        <f t="shared" si="35"/>
        <v>7.4116929139266485E-2</v>
      </c>
      <c r="S127" s="2"/>
      <c r="T127" s="7">
        <v>84197.32</v>
      </c>
      <c r="U127" s="2"/>
      <c r="V127" s="8">
        <f t="shared" si="36"/>
        <v>4.6141677785411304E-2</v>
      </c>
      <c r="W127" s="2"/>
      <c r="X127" s="7">
        <f t="shared" si="37"/>
        <v>44269.009999999995</v>
      </c>
      <c r="Y127" s="2"/>
      <c r="Z127" s="8">
        <f t="shared" si="38"/>
        <v>0.52577694871998293</v>
      </c>
    </row>
    <row r="128" spans="1:26" s="24" customFormat="1" hidden="1" outlineLevel="2" x14ac:dyDescent="0.3">
      <c r="A128" s="27"/>
      <c r="B128" s="11" t="str">
        <f>CONCATENATE("          ", "6008", " - ", "STUDENT HOURLY-FICA EXEMPT")</f>
        <v xml:space="preserve">          6008 - STUDENT HOURLY-FICA EXEMPT</v>
      </c>
      <c r="C128" s="11"/>
      <c r="D128" s="7">
        <v>14279.3</v>
      </c>
      <c r="E128" s="2"/>
      <c r="F128" s="8">
        <f t="shared" si="31"/>
        <v>9.4390219371838658E-3</v>
      </c>
      <c r="G128" s="2"/>
      <c r="H128" s="7">
        <v>433.03</v>
      </c>
      <c r="I128" s="2"/>
      <c r="J128" s="8">
        <f t="shared" si="32"/>
        <v>2.7113703129564253E-4</v>
      </c>
      <c r="K128" s="2"/>
      <c r="L128" s="7">
        <f t="shared" si="33"/>
        <v>13846.269999999999</v>
      </c>
      <c r="M128" s="2"/>
      <c r="N128" s="8">
        <f t="shared" si="34"/>
        <v>31.975313488672839</v>
      </c>
      <c r="O128" s="11"/>
      <c r="P128" s="7">
        <v>24063.65</v>
      </c>
      <c r="Q128" s="2"/>
      <c r="R128" s="8">
        <f t="shared" si="35"/>
        <v>1.3883200694548603E-2</v>
      </c>
      <c r="S128" s="2"/>
      <c r="T128" s="7">
        <v>433.03</v>
      </c>
      <c r="U128" s="2"/>
      <c r="V128" s="8">
        <f t="shared" si="36"/>
        <v>2.3730839332435584E-4</v>
      </c>
      <c r="W128" s="2"/>
      <c r="X128" s="7">
        <f t="shared" si="37"/>
        <v>23630.620000000003</v>
      </c>
      <c r="Y128" s="2"/>
      <c r="Z128" s="8">
        <f t="shared" si="38"/>
        <v>54.570399279495653</v>
      </c>
    </row>
    <row r="129" spans="1:26" s="28" customFormat="1" outlineLevel="1" collapsed="1" x14ac:dyDescent="0.3">
      <c r="A129" s="29"/>
      <c r="B129" s="14" t="str">
        <f>CONCATENATE("     ","Advertising/Promo                                 ")</f>
        <v xml:space="preserve">     Advertising/Promo                                 </v>
      </c>
      <c r="C129" s="14"/>
      <c r="D129" s="1">
        <f>SUM(OSRRefD22_2x_0)</f>
        <v>1542.54</v>
      </c>
      <c r="E129" s="1"/>
      <c r="F129" s="5">
        <f t="shared" ref="F129:F137" si="39">IF(D$12=0,0,D129/D$12)</f>
        <v>1.0196626514593573E-3</v>
      </c>
      <c r="G129" s="1"/>
      <c r="H129" s="1">
        <f>SUM(OSRRefH22_2x_0)</f>
        <v>9411.3700000000008</v>
      </c>
      <c r="I129" s="1"/>
      <c r="J129" s="5">
        <f t="shared" ref="J129:J137" si="40">IF(H$12=0,0,H129/H$12)</f>
        <v>5.8928271071862727E-3</v>
      </c>
      <c r="K129" s="1"/>
      <c r="L129" s="1">
        <f t="shared" ref="L129:L137" si="41">+D129-H129</f>
        <v>-7868.8300000000008</v>
      </c>
      <c r="M129" s="1"/>
      <c r="N129" s="5">
        <f t="shared" ref="N129:N137" si="42">IF(H129=0,0,L129/H129)</f>
        <v>-0.83609825137041682</v>
      </c>
      <c r="O129" s="14"/>
      <c r="P129" s="1">
        <f>SUM(OSRRefP22_2x_0)</f>
        <v>2036.17</v>
      </c>
      <c r="Q129" s="1"/>
      <c r="R129" s="5">
        <f t="shared" ref="R129:R137" si="43">IF(P$12=0,0,P129/P$12)</f>
        <v>1.1747410205109794E-3</v>
      </c>
      <c r="S129" s="1"/>
      <c r="T129" s="1">
        <f>SUM(OSRRefT22_2x_0)</f>
        <v>12002.2</v>
      </c>
      <c r="U129" s="1"/>
      <c r="V129" s="5">
        <f t="shared" ref="V129:V137" si="44">IF(T$12=0,0,T129/T$12)</f>
        <v>6.5774260405920704E-3</v>
      </c>
      <c r="W129" s="1"/>
      <c r="X129" s="1">
        <f t="shared" ref="X129:X137" si="45">+P129-T129</f>
        <v>-9966.0300000000007</v>
      </c>
      <c r="Y129" s="1"/>
      <c r="Z129" s="5">
        <f t="shared" ref="Z129:Z137" si="46">IF(T129=0,0,X129/T129)</f>
        <v>-0.83035026911732845</v>
      </c>
    </row>
    <row r="130" spans="1:26" s="24" customFormat="1" hidden="1" outlineLevel="2" x14ac:dyDescent="0.3">
      <c r="A130" s="27"/>
      <c r="B130" s="11" t="str">
        <f>CONCATENATE("          ", "6362", " - ", "ADVERTISING EXPENSE")</f>
        <v xml:space="preserve">          6362 - ADVERTISING EXPENSE</v>
      </c>
      <c r="C130" s="11"/>
      <c r="D130" s="7">
        <v>1542.54</v>
      </c>
      <c r="E130" s="2"/>
      <c r="F130" s="8">
        <f t="shared" si="39"/>
        <v>1.0196626514593573E-3</v>
      </c>
      <c r="G130" s="2"/>
      <c r="H130" s="7">
        <v>9411.3700000000008</v>
      </c>
      <c r="I130" s="2"/>
      <c r="J130" s="8">
        <f t="shared" si="40"/>
        <v>5.8928271071862727E-3</v>
      </c>
      <c r="K130" s="2"/>
      <c r="L130" s="7">
        <f t="shared" si="41"/>
        <v>-7868.8300000000008</v>
      </c>
      <c r="M130" s="2"/>
      <c r="N130" s="8">
        <f t="shared" si="42"/>
        <v>-0.83609825137041682</v>
      </c>
      <c r="O130" s="11"/>
      <c r="P130" s="7">
        <v>2036.17</v>
      </c>
      <c r="Q130" s="2"/>
      <c r="R130" s="8">
        <f t="shared" si="43"/>
        <v>1.1747410205109794E-3</v>
      </c>
      <c r="S130" s="2"/>
      <c r="T130" s="7">
        <v>12002.2</v>
      </c>
      <c r="U130" s="2"/>
      <c r="V130" s="8">
        <f t="shared" si="44"/>
        <v>6.5774260405920704E-3</v>
      </c>
      <c r="W130" s="2"/>
      <c r="X130" s="7">
        <f t="shared" si="45"/>
        <v>-9966.0300000000007</v>
      </c>
      <c r="Y130" s="2"/>
      <c r="Z130" s="8">
        <f t="shared" si="46"/>
        <v>-0.83035026911732845</v>
      </c>
    </row>
    <row r="131" spans="1:26" s="28" customFormat="1" outlineLevel="1" collapsed="1" x14ac:dyDescent="0.3">
      <c r="A131" s="29"/>
      <c r="B131" s="14" t="str">
        <f>CONCATENATE("     ","Bad Debts/Over/Short                              ")</f>
        <v xml:space="preserve">     Bad Debts/Over/Short                              </v>
      </c>
      <c r="C131" s="14"/>
      <c r="D131" s="1">
        <f>SUM(OSRRefD22_3x_0)</f>
        <v>150.76</v>
      </c>
      <c r="E131" s="1"/>
      <c r="F131" s="5">
        <f t="shared" si="39"/>
        <v>9.9656632135317543E-5</v>
      </c>
      <c r="G131" s="1"/>
      <c r="H131" s="1">
        <f>SUM(OSRRefH22_3x_0)</f>
        <v>66.81</v>
      </c>
      <c r="I131" s="1"/>
      <c r="J131" s="5">
        <f t="shared" si="40"/>
        <v>4.1832355866480105E-5</v>
      </c>
      <c r="K131" s="1"/>
      <c r="L131" s="1">
        <f t="shared" si="41"/>
        <v>83.949999999999989</v>
      </c>
      <c r="M131" s="1"/>
      <c r="N131" s="5">
        <f t="shared" si="42"/>
        <v>1.2565484208950755</v>
      </c>
      <c r="O131" s="14"/>
      <c r="P131" s="1">
        <f>SUM(OSRRefP22_3x_0)</f>
        <v>152.03</v>
      </c>
      <c r="Q131" s="1"/>
      <c r="R131" s="5">
        <f t="shared" si="43"/>
        <v>8.7711673066730281E-5</v>
      </c>
      <c r="S131" s="1"/>
      <c r="T131" s="1">
        <f>SUM(OSRRefT22_3x_0)</f>
        <v>71.790000000000006</v>
      </c>
      <c r="U131" s="1"/>
      <c r="V131" s="5">
        <f t="shared" si="44"/>
        <v>3.9342238544108976E-5</v>
      </c>
      <c r="W131" s="1"/>
      <c r="X131" s="1">
        <f t="shared" si="45"/>
        <v>80.239999999999995</v>
      </c>
      <c r="Y131" s="1"/>
      <c r="Z131" s="5">
        <f t="shared" si="46"/>
        <v>1.1177044156567766</v>
      </c>
    </row>
    <row r="132" spans="1:26" s="24" customFormat="1" hidden="1" outlineLevel="2" x14ac:dyDescent="0.3">
      <c r="A132" s="27"/>
      <c r="B132" s="11" t="str">
        <f>CONCATENATE("          ", "6272", " - ", "CASH (OVER/SHORT)")</f>
        <v xml:space="preserve">          6272 - CASH (OVER/SHORT)</v>
      </c>
      <c r="C132" s="11"/>
      <c r="D132" s="7">
        <v>150.76</v>
      </c>
      <c r="E132" s="2"/>
      <c r="F132" s="8">
        <f t="shared" si="39"/>
        <v>9.9656632135317543E-5</v>
      </c>
      <c r="G132" s="2"/>
      <c r="H132" s="7">
        <v>66.81</v>
      </c>
      <c r="I132" s="2"/>
      <c r="J132" s="8">
        <f t="shared" si="40"/>
        <v>4.1832355866480105E-5</v>
      </c>
      <c r="K132" s="2"/>
      <c r="L132" s="7">
        <f t="shared" si="41"/>
        <v>83.949999999999989</v>
      </c>
      <c r="M132" s="2"/>
      <c r="N132" s="8">
        <f t="shared" si="42"/>
        <v>1.2565484208950755</v>
      </c>
      <c r="O132" s="11"/>
      <c r="P132" s="7">
        <v>152.03</v>
      </c>
      <c r="Q132" s="2"/>
      <c r="R132" s="8">
        <f t="shared" si="43"/>
        <v>8.7711673066730281E-5</v>
      </c>
      <c r="S132" s="2"/>
      <c r="T132" s="7">
        <v>71.790000000000006</v>
      </c>
      <c r="U132" s="2"/>
      <c r="V132" s="8">
        <f t="shared" si="44"/>
        <v>3.9342238544108976E-5</v>
      </c>
      <c r="W132" s="2"/>
      <c r="X132" s="7">
        <f t="shared" si="45"/>
        <v>80.239999999999995</v>
      </c>
      <c r="Y132" s="2"/>
      <c r="Z132" s="8">
        <f t="shared" si="46"/>
        <v>1.1177044156567766</v>
      </c>
    </row>
    <row r="133" spans="1:26" s="28" customFormat="1" outlineLevel="1" collapsed="1" x14ac:dyDescent="0.3">
      <c r="A133" s="29"/>
      <c r="B133" s="14" t="str">
        <f>CONCATENATE("     ","Bank/card Fees                                    ")</f>
        <v xml:space="preserve">     Bank/card Fees                                    </v>
      </c>
      <c r="C133" s="14"/>
      <c r="D133" s="1">
        <f>SUM(OSRRefD22_4x_0)</f>
        <v>23002.82</v>
      </c>
      <c r="E133" s="1"/>
      <c r="F133" s="5">
        <f t="shared" si="39"/>
        <v>1.5205515858416854E-2</v>
      </c>
      <c r="G133" s="1"/>
      <c r="H133" s="1">
        <f>SUM(OSRRefH22_4x_0)</f>
        <v>22080.34</v>
      </c>
      <c r="I133" s="1"/>
      <c r="J133" s="5">
        <f t="shared" si="40"/>
        <v>1.3825365073085995E-2</v>
      </c>
      <c r="K133" s="1"/>
      <c r="L133" s="1">
        <f t="shared" si="41"/>
        <v>922.47999999999956</v>
      </c>
      <c r="M133" s="1"/>
      <c r="N133" s="5">
        <f t="shared" si="42"/>
        <v>4.1778342181325083E-2</v>
      </c>
      <c r="O133" s="14"/>
      <c r="P133" s="1">
        <f>SUM(OSRRefP22_4x_0)</f>
        <v>26964.7</v>
      </c>
      <c r="Q133" s="1"/>
      <c r="R133" s="5">
        <f t="shared" si="43"/>
        <v>1.5556922651729671E-2</v>
      </c>
      <c r="S133" s="1"/>
      <c r="T133" s="1">
        <f>SUM(OSRRefT22_4x_0)</f>
        <v>25197.55</v>
      </c>
      <c r="U133" s="1"/>
      <c r="V133" s="5">
        <f t="shared" si="44"/>
        <v>1.3808720195390903E-2</v>
      </c>
      <c r="W133" s="1"/>
      <c r="X133" s="1">
        <f t="shared" si="45"/>
        <v>1767.1500000000015</v>
      </c>
      <c r="Y133" s="1"/>
      <c r="Z133" s="5">
        <f t="shared" si="46"/>
        <v>7.01318183712306E-2</v>
      </c>
    </row>
    <row r="134" spans="1:26" s="24" customFormat="1" hidden="1" outlineLevel="2" x14ac:dyDescent="0.3">
      <c r="A134" s="27"/>
      <c r="B134" s="11" t="str">
        <f>CONCATENATE("          ", "6381", " - ", "BANK/CREDIT CARD FEES")</f>
        <v xml:space="preserve">          6381 - BANK/CREDIT CARD FEES</v>
      </c>
      <c r="C134" s="11"/>
      <c r="D134" s="7">
        <v>23002.82</v>
      </c>
      <c r="E134" s="2"/>
      <c r="F134" s="8">
        <f t="shared" si="39"/>
        <v>1.5205515858416854E-2</v>
      </c>
      <c r="G134" s="2"/>
      <c r="H134" s="7">
        <v>22080.34</v>
      </c>
      <c r="I134" s="2"/>
      <c r="J134" s="8">
        <f t="shared" si="40"/>
        <v>1.3825365073085995E-2</v>
      </c>
      <c r="K134" s="2"/>
      <c r="L134" s="7">
        <f t="shared" si="41"/>
        <v>922.47999999999956</v>
      </c>
      <c r="M134" s="2"/>
      <c r="N134" s="8">
        <f t="shared" si="42"/>
        <v>4.1778342181325083E-2</v>
      </c>
      <c r="O134" s="11"/>
      <c r="P134" s="7">
        <v>26964.7</v>
      </c>
      <c r="Q134" s="2"/>
      <c r="R134" s="8">
        <f t="shared" si="43"/>
        <v>1.5556922651729671E-2</v>
      </c>
      <c r="S134" s="2"/>
      <c r="T134" s="7">
        <v>25197.55</v>
      </c>
      <c r="U134" s="2"/>
      <c r="V134" s="8">
        <f t="shared" si="44"/>
        <v>1.3808720195390903E-2</v>
      </c>
      <c r="W134" s="2"/>
      <c r="X134" s="7">
        <f t="shared" si="45"/>
        <v>1767.1500000000015</v>
      </c>
      <c r="Y134" s="2"/>
      <c r="Z134" s="8">
        <f t="shared" si="46"/>
        <v>7.01318183712306E-2</v>
      </c>
    </row>
    <row r="135" spans="1:26" s="28" customFormat="1" outlineLevel="1" collapsed="1" x14ac:dyDescent="0.3">
      <c r="A135" s="29"/>
      <c r="B135" s="14" t="str">
        <f>CONCATENATE("     ","Depreciation                                      ")</f>
        <v xml:space="preserve">     Depreciation                                      </v>
      </c>
      <c r="C135" s="14"/>
      <c r="D135" s="1">
        <f>SUM(OSRRefD22_5x_0)</f>
        <v>30720.68</v>
      </c>
      <c r="E135" s="1"/>
      <c r="F135" s="5">
        <f t="shared" si="39"/>
        <v>2.0307240021934247E-2</v>
      </c>
      <c r="G135" s="1"/>
      <c r="H135" s="1">
        <f>SUM(OSRRefH22_5x_0)</f>
        <v>31089.33</v>
      </c>
      <c r="I135" s="1"/>
      <c r="J135" s="5">
        <f t="shared" si="40"/>
        <v>1.9466246313582337E-2</v>
      </c>
      <c r="K135" s="1"/>
      <c r="L135" s="1">
        <f t="shared" si="41"/>
        <v>-368.65000000000146</v>
      </c>
      <c r="M135" s="1"/>
      <c r="N135" s="5">
        <f t="shared" si="42"/>
        <v>-1.1857765992383928E-2</v>
      </c>
      <c r="O135" s="14"/>
      <c r="P135" s="1">
        <f>SUM(OSRRefP22_5x_0)</f>
        <v>61441.36</v>
      </c>
      <c r="Q135" s="1"/>
      <c r="R135" s="5">
        <f t="shared" si="43"/>
        <v>3.5447770052590137E-2</v>
      </c>
      <c r="S135" s="1"/>
      <c r="T135" s="1">
        <f>SUM(OSRRefT22_5x_0)</f>
        <v>61436.19</v>
      </c>
      <c r="U135" s="1"/>
      <c r="V135" s="5">
        <f t="shared" si="44"/>
        <v>3.3668160498972033E-2</v>
      </c>
      <c r="W135" s="1"/>
      <c r="X135" s="1">
        <f t="shared" si="45"/>
        <v>5.1699999999982538</v>
      </c>
      <c r="Y135" s="1"/>
      <c r="Z135" s="5">
        <f t="shared" si="46"/>
        <v>8.4152353848737261E-5</v>
      </c>
    </row>
    <row r="136" spans="1:26" s="24" customFormat="1" hidden="1" outlineLevel="2" x14ac:dyDescent="0.3">
      <c r="A136" s="27"/>
      <c r="B136" s="11" t="str">
        <f>CONCATENATE("          ", "6321", " - ", "BUILDING DEPRECIATION")</f>
        <v xml:space="preserve">          6321 - BUILDING DEPRECIATION</v>
      </c>
      <c r="C136" s="11"/>
      <c r="D136" s="7">
        <v>16396.52</v>
      </c>
      <c r="E136" s="2"/>
      <c r="F136" s="8">
        <f t="shared" si="39"/>
        <v>1.083856435353792E-2</v>
      </c>
      <c r="G136" s="2"/>
      <c r="H136" s="7">
        <v>16396.52</v>
      </c>
      <c r="I136" s="2"/>
      <c r="J136" s="8">
        <f t="shared" si="40"/>
        <v>1.0266502912915108E-2</v>
      </c>
      <c r="K136" s="2"/>
      <c r="L136" s="7">
        <f t="shared" si="41"/>
        <v>0</v>
      </c>
      <c r="M136" s="2"/>
      <c r="N136" s="8">
        <f t="shared" si="42"/>
        <v>0</v>
      </c>
      <c r="O136" s="11"/>
      <c r="P136" s="7">
        <v>32793.040000000001</v>
      </c>
      <c r="Q136" s="2"/>
      <c r="R136" s="8">
        <f t="shared" si="43"/>
        <v>1.8919505382781088E-2</v>
      </c>
      <c r="S136" s="2"/>
      <c r="T136" s="7">
        <v>32793.040000000001</v>
      </c>
      <c r="U136" s="2"/>
      <c r="V136" s="8">
        <f t="shared" si="44"/>
        <v>1.7971188219341235E-2</v>
      </c>
      <c r="W136" s="2"/>
      <c r="X136" s="7">
        <f t="shared" si="45"/>
        <v>0</v>
      </c>
      <c r="Y136" s="2"/>
      <c r="Z136" s="8">
        <f t="shared" si="46"/>
        <v>0</v>
      </c>
    </row>
    <row r="137" spans="1:26" s="24" customFormat="1" hidden="1" outlineLevel="2" x14ac:dyDescent="0.3">
      <c r="A137" s="27"/>
      <c r="B137" s="11" t="str">
        <f>CONCATENATE("          ", "6322", " - ", "EQUIPMENT DEPRECIATION EXPENSE")</f>
        <v xml:space="preserve">          6322 - EQUIPMENT DEPRECIATION EXPENSE</v>
      </c>
      <c r="C137" s="11"/>
      <c r="D137" s="7">
        <v>14324.16</v>
      </c>
      <c r="E137" s="2"/>
      <c r="F137" s="8">
        <f t="shared" si="39"/>
        <v>9.4686756683963254E-3</v>
      </c>
      <c r="G137" s="2"/>
      <c r="H137" s="7">
        <v>14692.81</v>
      </c>
      <c r="I137" s="2"/>
      <c r="J137" s="8">
        <f t="shared" si="40"/>
        <v>9.1997434006672284E-3</v>
      </c>
      <c r="K137" s="2"/>
      <c r="L137" s="7">
        <f t="shared" si="41"/>
        <v>-368.64999999999964</v>
      </c>
      <c r="M137" s="2"/>
      <c r="N137" s="8">
        <f t="shared" si="42"/>
        <v>-2.509050345032704E-2</v>
      </c>
      <c r="O137" s="11"/>
      <c r="P137" s="7">
        <v>28648.32</v>
      </c>
      <c r="Q137" s="2"/>
      <c r="R137" s="8">
        <f t="shared" si="43"/>
        <v>1.6528264669809053E-2</v>
      </c>
      <c r="S137" s="2"/>
      <c r="T137" s="7">
        <v>28643.15</v>
      </c>
      <c r="U137" s="2"/>
      <c r="V137" s="8">
        <f t="shared" si="44"/>
        <v>1.5696972279630798E-2</v>
      </c>
      <c r="W137" s="2"/>
      <c r="X137" s="7">
        <f t="shared" si="45"/>
        <v>5.1699999999982538</v>
      </c>
      <c r="Y137" s="2"/>
      <c r="Z137" s="8">
        <f t="shared" si="46"/>
        <v>1.8049690763754175E-4</v>
      </c>
    </row>
    <row r="138" spans="1:26" s="28" customFormat="1" outlineLevel="1" collapsed="1" x14ac:dyDescent="0.3">
      <c r="A138" s="29"/>
      <c r="B138" s="14" t="str">
        <f>CONCATENATE("     ","Discounts and Markdowns                           ")</f>
        <v xml:space="preserve">     Discounts and Markdowns                           </v>
      </c>
      <c r="C138" s="14"/>
      <c r="D138" s="1">
        <f>SUM(OSRRefD22_6x_0)</f>
        <v>-157.30000000000001</v>
      </c>
      <c r="E138" s="1"/>
      <c r="F138" s="5">
        <f t="shared" ref="F138:F140" si="47">IF(D$12=0,0,D138/D$12)</f>
        <v>-1.0397975746143175E-4</v>
      </c>
      <c r="G138" s="1"/>
      <c r="H138" s="1">
        <f>SUM(OSRRefH22_6x_0)</f>
        <v>0</v>
      </c>
      <c r="I138" s="1"/>
      <c r="J138" s="5">
        <f t="shared" ref="J138:J140" si="48">IF(H$12=0,0,H138/H$12)</f>
        <v>0</v>
      </c>
      <c r="K138" s="1"/>
      <c r="L138" s="1">
        <f t="shared" ref="L138:L140" si="49">+D138-H138</f>
        <v>-157.30000000000001</v>
      </c>
      <c r="M138" s="1"/>
      <c r="N138" s="5">
        <f t="shared" ref="N138:N140" si="50">IF(H138=0,0,L138/H138)</f>
        <v>0</v>
      </c>
      <c r="O138" s="14"/>
      <c r="P138" s="1">
        <f>SUM(OSRRefP22_6x_0)</f>
        <v>-157.97999999999999</v>
      </c>
      <c r="Q138" s="1"/>
      <c r="R138" s="5">
        <f t="shared" ref="R138:R140" si="51">IF(P$12=0,0,P138/P$12)</f>
        <v>-9.1144445905953092E-5</v>
      </c>
      <c r="S138" s="1"/>
      <c r="T138" s="1">
        <f>SUM(OSRRefT22_6x_0)</f>
        <v>0</v>
      </c>
      <c r="U138" s="1"/>
      <c r="V138" s="5">
        <f t="shared" ref="V138:V140" si="52">IF(T$12=0,0,T138/T$12)</f>
        <v>0</v>
      </c>
      <c r="W138" s="1"/>
      <c r="X138" s="1">
        <f t="shared" ref="X138:X140" si="53">+P138-T138</f>
        <v>-157.97999999999999</v>
      </c>
      <c r="Y138" s="1"/>
      <c r="Z138" s="5">
        <f t="shared" ref="Z138:Z140" si="54">IF(T138=0,0,X138/T138)</f>
        <v>0</v>
      </c>
    </row>
    <row r="139" spans="1:26" s="24" customFormat="1" hidden="1" outlineLevel="2" x14ac:dyDescent="0.3">
      <c r="A139" s="27"/>
      <c r="B139" s="11" t="str">
        <f>CONCATENATE("          ", "6382", " - ", "DISCOUNTS/MARK DOWNS")</f>
        <v xml:space="preserve">          6382 - DISCOUNTS/MARK DOWNS</v>
      </c>
      <c r="C139" s="11"/>
      <c r="D139" s="7"/>
      <c r="E139" s="2"/>
      <c r="F139" s="8">
        <f t="shared" si="47"/>
        <v>0</v>
      </c>
      <c r="G139" s="2"/>
      <c r="H139" s="7">
        <v>0</v>
      </c>
      <c r="I139" s="2"/>
      <c r="J139" s="8">
        <f t="shared" si="48"/>
        <v>0</v>
      </c>
      <c r="K139" s="2"/>
      <c r="L139" s="7">
        <f t="shared" si="49"/>
        <v>0</v>
      </c>
      <c r="M139" s="2"/>
      <c r="N139" s="8">
        <f t="shared" si="50"/>
        <v>0</v>
      </c>
      <c r="O139" s="11"/>
      <c r="P139" s="7"/>
      <c r="Q139" s="2"/>
      <c r="R139" s="8">
        <f t="shared" si="51"/>
        <v>0</v>
      </c>
      <c r="S139" s="2"/>
      <c r="T139" s="7">
        <v>0</v>
      </c>
      <c r="U139" s="2"/>
      <c r="V139" s="8">
        <f t="shared" si="52"/>
        <v>0</v>
      </c>
      <c r="W139" s="2"/>
      <c r="X139" s="7">
        <f t="shared" si="53"/>
        <v>0</v>
      </c>
      <c r="Y139" s="2"/>
      <c r="Z139" s="8">
        <f t="shared" si="54"/>
        <v>0</v>
      </c>
    </row>
    <row r="140" spans="1:26" s="24" customFormat="1" hidden="1" outlineLevel="2" x14ac:dyDescent="0.3">
      <c r="A140" s="27"/>
      <c r="B140" s="11" t="str">
        <f>CONCATENATE("          ", "9175", " - ", "EARNED DISCOUNTS")</f>
        <v xml:space="preserve">          9175 - EARNED DISCOUNTS</v>
      </c>
      <c r="C140" s="11"/>
      <c r="D140" s="7">
        <v>-157.30000000000001</v>
      </c>
      <c r="E140" s="2"/>
      <c r="F140" s="8">
        <f t="shared" si="47"/>
        <v>-1.0397975746143175E-4</v>
      </c>
      <c r="G140" s="2"/>
      <c r="H140" s="7"/>
      <c r="I140" s="2"/>
      <c r="J140" s="8">
        <f t="shared" si="48"/>
        <v>0</v>
      </c>
      <c r="K140" s="2"/>
      <c r="L140" s="7">
        <f t="shared" si="49"/>
        <v>-157.30000000000001</v>
      </c>
      <c r="M140" s="2"/>
      <c r="N140" s="8">
        <f t="shared" si="50"/>
        <v>0</v>
      </c>
      <c r="O140" s="11"/>
      <c r="P140" s="7">
        <v>-157.97999999999999</v>
      </c>
      <c r="Q140" s="2"/>
      <c r="R140" s="8">
        <f t="shared" si="51"/>
        <v>-9.1144445905953092E-5</v>
      </c>
      <c r="S140" s="2"/>
      <c r="T140" s="7"/>
      <c r="U140" s="2"/>
      <c r="V140" s="8">
        <f t="shared" si="52"/>
        <v>0</v>
      </c>
      <c r="W140" s="2"/>
      <c r="X140" s="7">
        <f t="shared" si="53"/>
        <v>-157.97999999999999</v>
      </c>
      <c r="Y140" s="2"/>
      <c r="Z140" s="8">
        <f t="shared" si="54"/>
        <v>0</v>
      </c>
    </row>
    <row r="141" spans="1:26" s="28" customFormat="1" outlineLevel="1" collapsed="1" x14ac:dyDescent="0.3">
      <c r="A141" s="29"/>
      <c r="B141" s="14" t="str">
        <f>CONCATENATE("     ","Employees' Appreciation                           ")</f>
        <v xml:space="preserve">     Employees' Appreciation                           </v>
      </c>
      <c r="C141" s="14"/>
      <c r="D141" s="1">
        <f>SUM(OSRRefD22_7x_0)</f>
        <v>400</v>
      </c>
      <c r="E141" s="1"/>
      <c r="F141" s="5">
        <f t="shared" ref="F141:F147" si="55">IF(D$12=0,0,D141/D$12)</f>
        <v>2.6441133493053208E-4</v>
      </c>
      <c r="G141" s="1"/>
      <c r="H141" s="1">
        <f>SUM(OSRRefH22_7x_0)</f>
        <v>0</v>
      </c>
      <c r="I141" s="1"/>
      <c r="J141" s="5">
        <f t="shared" ref="J141:J147" si="56">IF(H$12=0,0,H141/H$12)</f>
        <v>0</v>
      </c>
      <c r="K141" s="1"/>
      <c r="L141" s="1">
        <f t="shared" ref="L141:L147" si="57">+D141-H141</f>
        <v>400</v>
      </c>
      <c r="M141" s="1"/>
      <c r="N141" s="5">
        <f t="shared" ref="N141:N147" si="58">IF(H141=0,0,L141/H141)</f>
        <v>0</v>
      </c>
      <c r="O141" s="14"/>
      <c r="P141" s="1">
        <f>SUM(OSRRefP22_7x_0)</f>
        <v>937.36</v>
      </c>
      <c r="Q141" s="1"/>
      <c r="R141" s="5">
        <f t="shared" ref="R141:R147" si="59">IF(P$12=0,0,P141/P$12)</f>
        <v>5.4079730228132799E-4</v>
      </c>
      <c r="S141" s="1"/>
      <c r="T141" s="1">
        <f>SUM(OSRRefT22_7x_0)</f>
        <v>107.7</v>
      </c>
      <c r="U141" s="1"/>
      <c r="V141" s="5">
        <f t="shared" ref="V141:V147" si="60">IF(T$12=0,0,T141/T$12)</f>
        <v>5.9021578091663694E-5</v>
      </c>
      <c r="W141" s="1"/>
      <c r="X141" s="1">
        <f t="shared" ref="X141:X147" si="61">+P141-T141</f>
        <v>829.66</v>
      </c>
      <c r="Y141" s="1"/>
      <c r="Z141" s="5">
        <f t="shared" ref="Z141:Z147" si="62">IF(T141=0,0,X141/T141)</f>
        <v>7.7034354688950781</v>
      </c>
    </row>
    <row r="142" spans="1:26" s="24" customFormat="1" hidden="1" outlineLevel="2" x14ac:dyDescent="0.3">
      <c r="A142" s="27"/>
      <c r="B142" s="11" t="str">
        <f>CONCATENATE("          ", "6277", " - ", "EMPLOYEE APPRECIATION")</f>
        <v xml:space="preserve">          6277 - EMPLOYEE APPRECIATION</v>
      </c>
      <c r="C142" s="11"/>
      <c r="D142" s="7">
        <v>400</v>
      </c>
      <c r="E142" s="2"/>
      <c r="F142" s="8">
        <f t="shared" si="55"/>
        <v>2.6441133493053208E-4</v>
      </c>
      <c r="G142" s="2"/>
      <c r="H142" s="7"/>
      <c r="I142" s="2"/>
      <c r="J142" s="8">
        <f t="shared" si="56"/>
        <v>0</v>
      </c>
      <c r="K142" s="2"/>
      <c r="L142" s="7">
        <f t="shared" si="57"/>
        <v>400</v>
      </c>
      <c r="M142" s="2"/>
      <c r="N142" s="8">
        <f t="shared" si="58"/>
        <v>0</v>
      </c>
      <c r="O142" s="11"/>
      <c r="P142" s="7">
        <v>937.36</v>
      </c>
      <c r="Q142" s="2"/>
      <c r="R142" s="8">
        <f t="shared" si="59"/>
        <v>5.4079730228132799E-4</v>
      </c>
      <c r="S142" s="2"/>
      <c r="T142" s="7">
        <v>107.7</v>
      </c>
      <c r="U142" s="2"/>
      <c r="V142" s="8">
        <f t="shared" si="60"/>
        <v>5.9021578091663694E-5</v>
      </c>
      <c r="W142" s="2"/>
      <c r="X142" s="7">
        <f t="shared" si="61"/>
        <v>829.66</v>
      </c>
      <c r="Y142" s="2"/>
      <c r="Z142" s="8">
        <f t="shared" si="62"/>
        <v>7.7034354688950781</v>
      </c>
    </row>
    <row r="143" spans="1:26" s="28" customFormat="1" outlineLevel="1" collapsed="1" x14ac:dyDescent="0.3">
      <c r="A143" s="29"/>
      <c r="B143" s="14" t="str">
        <f>CONCATENATE("     ","Equipment Rental                                  ")</f>
        <v xml:space="preserve">     Equipment Rental                                  </v>
      </c>
      <c r="C143" s="14"/>
      <c r="D143" s="1">
        <f>SUM(OSRRefD22_8x_0)</f>
        <v>2303.73</v>
      </c>
      <c r="E143" s="1"/>
      <c r="F143" s="5">
        <f t="shared" si="55"/>
        <v>1.5228308115487867E-3</v>
      </c>
      <c r="G143" s="1"/>
      <c r="H143" s="1">
        <f>SUM(OSRRefH22_8x_0)</f>
        <v>1388.16</v>
      </c>
      <c r="I143" s="1"/>
      <c r="J143" s="5">
        <f t="shared" si="56"/>
        <v>8.6918130698417941E-4</v>
      </c>
      <c r="K143" s="1"/>
      <c r="L143" s="1">
        <f t="shared" si="57"/>
        <v>915.56999999999994</v>
      </c>
      <c r="M143" s="1"/>
      <c r="N143" s="5">
        <f t="shared" si="58"/>
        <v>0.65955653526970948</v>
      </c>
      <c r="O143" s="14"/>
      <c r="P143" s="1">
        <f>SUM(OSRRefP22_8x_0)</f>
        <v>3691.89</v>
      </c>
      <c r="Q143" s="1"/>
      <c r="R143" s="5">
        <f t="shared" si="59"/>
        <v>2.1299865071257701E-3</v>
      </c>
      <c r="S143" s="1"/>
      <c r="T143" s="1">
        <f>SUM(OSRRefT22_8x_0)</f>
        <v>2776.32</v>
      </c>
      <c r="U143" s="1"/>
      <c r="V143" s="5">
        <f t="shared" si="60"/>
        <v>1.521474351786887E-3</v>
      </c>
      <c r="W143" s="1"/>
      <c r="X143" s="1">
        <f t="shared" si="61"/>
        <v>915.56999999999971</v>
      </c>
      <c r="Y143" s="1"/>
      <c r="Z143" s="5">
        <f t="shared" si="62"/>
        <v>0.32977826763485463</v>
      </c>
    </row>
    <row r="144" spans="1:26" s="24" customFormat="1" hidden="1" outlineLevel="2" x14ac:dyDescent="0.3">
      <c r="A144" s="27"/>
      <c r="B144" s="11" t="str">
        <f>CONCATENATE("          ", "6351", " - ", "EQUIPMENT RENTAL")</f>
        <v xml:space="preserve">          6351 - EQUIPMENT RENTAL</v>
      </c>
      <c r="C144" s="11"/>
      <c r="D144" s="7">
        <v>2303.73</v>
      </c>
      <c r="E144" s="2"/>
      <c r="F144" s="8">
        <f t="shared" si="55"/>
        <v>1.5228308115487867E-3</v>
      </c>
      <c r="G144" s="2"/>
      <c r="H144" s="7">
        <v>1388.16</v>
      </c>
      <c r="I144" s="2"/>
      <c r="J144" s="8">
        <f t="shared" si="56"/>
        <v>8.6918130698417941E-4</v>
      </c>
      <c r="K144" s="2"/>
      <c r="L144" s="7">
        <f t="shared" si="57"/>
        <v>915.56999999999994</v>
      </c>
      <c r="M144" s="2"/>
      <c r="N144" s="8">
        <f t="shared" si="58"/>
        <v>0.65955653526970948</v>
      </c>
      <c r="O144" s="11"/>
      <c r="P144" s="7">
        <v>3691.89</v>
      </c>
      <c r="Q144" s="2"/>
      <c r="R144" s="8">
        <f t="shared" si="59"/>
        <v>2.1299865071257701E-3</v>
      </c>
      <c r="S144" s="2"/>
      <c r="T144" s="7">
        <v>2776.32</v>
      </c>
      <c r="U144" s="2"/>
      <c r="V144" s="8">
        <f t="shared" si="60"/>
        <v>1.521474351786887E-3</v>
      </c>
      <c r="W144" s="2"/>
      <c r="X144" s="7">
        <f t="shared" si="61"/>
        <v>915.56999999999971</v>
      </c>
      <c r="Y144" s="2"/>
      <c r="Z144" s="8">
        <f t="shared" si="62"/>
        <v>0.32977826763485463</v>
      </c>
    </row>
    <row r="145" spans="1:26" s="28" customFormat="1" outlineLevel="1" collapsed="1" x14ac:dyDescent="0.3">
      <c r="A145" s="29"/>
      <c r="B145" s="14" t="str">
        <f>CONCATENATE("     ","Freight out/Postage                               ")</f>
        <v xml:space="preserve">     Freight out/Postage                               </v>
      </c>
      <c r="C145" s="14"/>
      <c r="D145" s="1">
        <f>SUM(OSRRefD22_9x_0)</f>
        <v>-19372.54</v>
      </c>
      <c r="E145" s="1"/>
      <c r="F145" s="5">
        <f t="shared" si="55"/>
        <v>-1.2805797905987825E-2</v>
      </c>
      <c r="G145" s="1"/>
      <c r="H145" s="1">
        <f>SUM(OSRRefH22_9x_0)</f>
        <v>-83740.51999999999</v>
      </c>
      <c r="I145" s="1"/>
      <c r="J145" s="5">
        <f t="shared" si="56"/>
        <v>-5.2433217079540399E-2</v>
      </c>
      <c r="K145" s="1"/>
      <c r="L145" s="1">
        <f t="shared" si="57"/>
        <v>64367.979999999989</v>
      </c>
      <c r="M145" s="1"/>
      <c r="N145" s="5">
        <f t="shared" si="58"/>
        <v>-0.76865990323441979</v>
      </c>
      <c r="O145" s="14"/>
      <c r="P145" s="1">
        <f>SUM(OSRRefP22_9x_0)</f>
        <v>-15782.930000000002</v>
      </c>
      <c r="Q145" s="1"/>
      <c r="R145" s="5">
        <f t="shared" si="59"/>
        <v>-9.1057501558579855E-3</v>
      </c>
      <c r="S145" s="1"/>
      <c r="T145" s="1">
        <f>SUM(OSRRefT22_9x_0)</f>
        <v>-74811.87</v>
      </c>
      <c r="U145" s="1"/>
      <c r="V145" s="5">
        <f t="shared" si="60"/>
        <v>-4.0998278805834648E-2</v>
      </c>
      <c r="W145" s="1"/>
      <c r="X145" s="1">
        <f t="shared" si="61"/>
        <v>59028.939999999995</v>
      </c>
      <c r="Y145" s="1"/>
      <c r="Z145" s="5">
        <f t="shared" si="62"/>
        <v>-0.78903174055133229</v>
      </c>
    </row>
    <row r="146" spans="1:26" s="24" customFormat="1" hidden="1" outlineLevel="2" x14ac:dyDescent="0.3">
      <c r="A146" s="27"/>
      <c r="B146" s="11" t="str">
        <f>CONCATENATE("          ", "6305", " - ", "FREIGHT OUT")</f>
        <v xml:space="preserve">          6305 - FREIGHT OUT</v>
      </c>
      <c r="C146" s="11"/>
      <c r="D146" s="7">
        <v>4399.6499999999996</v>
      </c>
      <c r="E146" s="2"/>
      <c r="F146" s="8">
        <f t="shared" si="55"/>
        <v>2.9082933243177885E-3</v>
      </c>
      <c r="G146" s="2"/>
      <c r="H146" s="7">
        <v>8240.52</v>
      </c>
      <c r="I146" s="2"/>
      <c r="J146" s="8">
        <f t="shared" si="56"/>
        <v>5.1597120964652987E-3</v>
      </c>
      <c r="K146" s="2"/>
      <c r="L146" s="7">
        <f t="shared" si="57"/>
        <v>-3840.8700000000008</v>
      </c>
      <c r="M146" s="2"/>
      <c r="N146" s="8">
        <f t="shared" si="58"/>
        <v>-0.46609558620087088</v>
      </c>
      <c r="O146" s="11"/>
      <c r="P146" s="7">
        <v>15289.15</v>
      </c>
      <c r="Q146" s="2"/>
      <c r="R146" s="8">
        <f t="shared" si="59"/>
        <v>8.820870395765304E-3</v>
      </c>
      <c r="S146" s="2"/>
      <c r="T146" s="7">
        <v>20329.61</v>
      </c>
      <c r="U146" s="2"/>
      <c r="V146" s="8">
        <f t="shared" si="60"/>
        <v>1.1140999667484374E-2</v>
      </c>
      <c r="W146" s="2"/>
      <c r="X146" s="7">
        <f t="shared" si="61"/>
        <v>-5040.4600000000009</v>
      </c>
      <c r="Y146" s="2"/>
      <c r="Z146" s="8">
        <f t="shared" si="62"/>
        <v>-0.24793687630997352</v>
      </c>
    </row>
    <row r="147" spans="1:26" s="24" customFormat="1" hidden="1" outlineLevel="2" x14ac:dyDescent="0.3">
      <c r="A147" s="27"/>
      <c r="B147" s="11" t="str">
        <f>CONCATENATE("          ", "6307", " - ", "POSTAGE")</f>
        <v xml:space="preserve">          6307 - POSTAGE</v>
      </c>
      <c r="C147" s="11"/>
      <c r="D147" s="7">
        <v>-23772.19</v>
      </c>
      <c r="E147" s="2"/>
      <c r="F147" s="8">
        <f t="shared" si="55"/>
        <v>-1.5714091230305614E-2</v>
      </c>
      <c r="G147" s="2"/>
      <c r="H147" s="7">
        <v>-91981.04</v>
      </c>
      <c r="I147" s="2"/>
      <c r="J147" s="8">
        <f t="shared" si="56"/>
        <v>-5.7592929176005697E-2</v>
      </c>
      <c r="K147" s="2"/>
      <c r="L147" s="7">
        <f t="shared" si="57"/>
        <v>68208.849999999991</v>
      </c>
      <c r="M147" s="2"/>
      <c r="N147" s="8">
        <f t="shared" si="58"/>
        <v>-0.74155336795496107</v>
      </c>
      <c r="O147" s="11"/>
      <c r="P147" s="7">
        <v>-31072.080000000002</v>
      </c>
      <c r="Q147" s="2"/>
      <c r="R147" s="8">
        <f t="shared" si="59"/>
        <v>-1.7926620551623289E-2</v>
      </c>
      <c r="S147" s="2"/>
      <c r="T147" s="7">
        <v>-95141.48</v>
      </c>
      <c r="U147" s="2"/>
      <c r="V147" s="8">
        <f t="shared" si="60"/>
        <v>-5.213927847331902E-2</v>
      </c>
      <c r="W147" s="2"/>
      <c r="X147" s="7">
        <f t="shared" si="61"/>
        <v>64069.399999999994</v>
      </c>
      <c r="Y147" s="2"/>
      <c r="Z147" s="8">
        <f t="shared" si="62"/>
        <v>-0.67341184938472676</v>
      </c>
    </row>
    <row r="148" spans="1:26" s="28" customFormat="1" outlineLevel="1" collapsed="1" x14ac:dyDescent="0.3">
      <c r="A148" s="29"/>
      <c r="B148" s="14" t="str">
        <f>CONCATENATE("     ","General                                           ")</f>
        <v xml:space="preserve">     General                                           </v>
      </c>
      <c r="C148" s="14"/>
      <c r="D148" s="1">
        <f>SUM(OSRRefD22_10x_0)</f>
        <v>997.29</v>
      </c>
      <c r="E148" s="1"/>
      <c r="F148" s="5">
        <f t="shared" ref="F148:F154" si="63">IF(D$12=0,0,D148/D$12)</f>
        <v>6.5923695053217587E-4</v>
      </c>
      <c r="G148" s="1"/>
      <c r="H148" s="1">
        <f>SUM(OSRRefH22_10x_0)</f>
        <v>113.26</v>
      </c>
      <c r="I148" s="1"/>
      <c r="J148" s="5">
        <f t="shared" ref="J148:J154" si="64">IF(H$12=0,0,H148/H$12)</f>
        <v>7.0916518866001146E-5</v>
      </c>
      <c r="K148" s="1"/>
      <c r="L148" s="1">
        <f t="shared" ref="L148:L154" si="65">+D148-H148</f>
        <v>884.03</v>
      </c>
      <c r="M148" s="1"/>
      <c r="N148" s="5">
        <f t="shared" ref="N148:N154" si="66">IF(H148=0,0,L148/H148)</f>
        <v>7.8053152039554998</v>
      </c>
      <c r="O148" s="14"/>
      <c r="P148" s="1">
        <f>SUM(OSRRefP22_10x_0)</f>
        <v>1775.29</v>
      </c>
      <c r="Q148" s="1"/>
      <c r="R148" s="5">
        <f t="shared" ref="R148:R154" si="67">IF(P$12=0,0,P148/P$12)</f>
        <v>1.0242297972678787E-3</v>
      </c>
      <c r="S148" s="1"/>
      <c r="T148" s="1">
        <f>SUM(OSRRefT22_10x_0)</f>
        <v>-3206.83</v>
      </c>
      <c r="U148" s="1"/>
      <c r="V148" s="5">
        <f t="shared" ref="V148:V154" si="68">IF(T$12=0,0,T148/T$12)</f>
        <v>-1.7574017388272039E-3</v>
      </c>
      <c r="W148" s="1"/>
      <c r="X148" s="1">
        <f t="shared" ref="X148:X154" si="69">+P148-T148</f>
        <v>4982.12</v>
      </c>
      <c r="Y148" s="1"/>
      <c r="Z148" s="5">
        <f t="shared" ref="Z148:Z154" si="70">IF(T148=0,0,X148/T148)</f>
        <v>-1.5535965423798579</v>
      </c>
    </row>
    <row r="149" spans="1:26" s="24" customFormat="1" hidden="1" outlineLevel="2" x14ac:dyDescent="0.3">
      <c r="A149" s="27"/>
      <c r="B149" s="11" t="str">
        <f>CONCATENATE("          ", "6279", " - ", "GENERAL EXPENSE")</f>
        <v xml:space="preserve">          6279 - GENERAL EXPENSE</v>
      </c>
      <c r="C149" s="11"/>
      <c r="D149" s="7">
        <v>997.29</v>
      </c>
      <c r="E149" s="2"/>
      <c r="F149" s="8">
        <f t="shared" si="63"/>
        <v>6.5923695053217587E-4</v>
      </c>
      <c r="G149" s="2"/>
      <c r="H149" s="7">
        <v>113.26</v>
      </c>
      <c r="I149" s="2"/>
      <c r="J149" s="8">
        <f t="shared" si="64"/>
        <v>7.0916518866001146E-5</v>
      </c>
      <c r="K149" s="2"/>
      <c r="L149" s="7">
        <f t="shared" si="65"/>
        <v>884.03</v>
      </c>
      <c r="M149" s="2"/>
      <c r="N149" s="8">
        <f t="shared" si="66"/>
        <v>7.8053152039554998</v>
      </c>
      <c r="O149" s="11"/>
      <c r="P149" s="7">
        <v>1775.29</v>
      </c>
      <c r="Q149" s="2"/>
      <c r="R149" s="8">
        <f t="shared" si="67"/>
        <v>1.0242297972678787E-3</v>
      </c>
      <c r="S149" s="2"/>
      <c r="T149" s="7">
        <v>-3206.83</v>
      </c>
      <c r="U149" s="2"/>
      <c r="V149" s="8">
        <f t="shared" si="68"/>
        <v>-1.7574017388272039E-3</v>
      </c>
      <c r="W149" s="2"/>
      <c r="X149" s="7">
        <f t="shared" si="69"/>
        <v>4982.12</v>
      </c>
      <c r="Y149" s="2"/>
      <c r="Z149" s="8">
        <f t="shared" si="70"/>
        <v>-1.5535965423798579</v>
      </c>
    </row>
    <row r="150" spans="1:26" s="28" customFormat="1" outlineLevel="1" collapsed="1" x14ac:dyDescent="0.3">
      <c r="A150" s="29"/>
      <c r="B150" s="14" t="str">
        <f>CONCATENATE("     ","Insurance                                         ")</f>
        <v xml:space="preserve">     Insurance                                         </v>
      </c>
      <c r="C150" s="14"/>
      <c r="D150" s="1">
        <f>SUM(OSRRefD22_11x_0)</f>
        <v>5494.57</v>
      </c>
      <c r="E150" s="1"/>
      <c r="F150" s="5">
        <f t="shared" si="63"/>
        <v>3.6320664714231338E-3</v>
      </c>
      <c r="G150" s="1"/>
      <c r="H150" s="1">
        <f>SUM(OSRRefH22_11x_0)</f>
        <v>4044.74</v>
      </c>
      <c r="I150" s="1"/>
      <c r="J150" s="5">
        <f t="shared" si="64"/>
        <v>2.5325700204667971E-3</v>
      </c>
      <c r="K150" s="1"/>
      <c r="L150" s="1">
        <f t="shared" si="65"/>
        <v>1449.83</v>
      </c>
      <c r="M150" s="1"/>
      <c r="N150" s="5">
        <f t="shared" si="66"/>
        <v>0.35844825625380122</v>
      </c>
      <c r="O150" s="14"/>
      <c r="P150" s="1">
        <f>SUM(OSRRefP22_11x_0)</f>
        <v>10989.14</v>
      </c>
      <c r="Q150" s="1"/>
      <c r="R150" s="5">
        <f t="shared" si="67"/>
        <v>6.3400371963726124E-3</v>
      </c>
      <c r="S150" s="1"/>
      <c r="T150" s="1">
        <f>SUM(OSRRefT22_11x_0)</f>
        <v>8089.48</v>
      </c>
      <c r="U150" s="1"/>
      <c r="V150" s="5">
        <f t="shared" si="68"/>
        <v>4.4331836169076285E-3</v>
      </c>
      <c r="W150" s="1"/>
      <c r="X150" s="1">
        <f t="shared" si="69"/>
        <v>2899.66</v>
      </c>
      <c r="Y150" s="1"/>
      <c r="Z150" s="5">
        <f t="shared" si="70"/>
        <v>0.35844825625380122</v>
      </c>
    </row>
    <row r="151" spans="1:26" s="24" customFormat="1" hidden="1" outlineLevel="2" x14ac:dyDescent="0.3">
      <c r="A151" s="27"/>
      <c r="B151" s="11" t="str">
        <f>CONCATENATE("          ", "6314", " - ", "LIABILITY INSURANCE")</f>
        <v xml:space="preserve">          6314 - LIABILITY INSURANCE</v>
      </c>
      <c r="C151" s="11"/>
      <c r="D151" s="7">
        <v>5494.57</v>
      </c>
      <c r="E151" s="2"/>
      <c r="F151" s="8">
        <f t="shared" si="63"/>
        <v>3.6320664714231338E-3</v>
      </c>
      <c r="G151" s="2"/>
      <c r="H151" s="7">
        <v>4044.74</v>
      </c>
      <c r="I151" s="2"/>
      <c r="J151" s="8">
        <f t="shared" si="64"/>
        <v>2.5325700204667971E-3</v>
      </c>
      <c r="K151" s="2"/>
      <c r="L151" s="7">
        <f t="shared" si="65"/>
        <v>1449.83</v>
      </c>
      <c r="M151" s="2"/>
      <c r="N151" s="8">
        <f t="shared" si="66"/>
        <v>0.35844825625380122</v>
      </c>
      <c r="O151" s="11"/>
      <c r="P151" s="7">
        <v>10989.14</v>
      </c>
      <c r="Q151" s="2"/>
      <c r="R151" s="8">
        <f t="shared" si="67"/>
        <v>6.3400371963726124E-3</v>
      </c>
      <c r="S151" s="2"/>
      <c r="T151" s="7">
        <v>8089.48</v>
      </c>
      <c r="U151" s="2"/>
      <c r="V151" s="8">
        <f t="shared" si="68"/>
        <v>4.4331836169076285E-3</v>
      </c>
      <c r="W151" s="2"/>
      <c r="X151" s="7">
        <f t="shared" si="69"/>
        <v>2899.66</v>
      </c>
      <c r="Y151" s="2"/>
      <c r="Z151" s="8">
        <f t="shared" si="70"/>
        <v>0.35844825625380122</v>
      </c>
    </row>
    <row r="152" spans="1:26" s="28" customFormat="1" outlineLevel="1" collapsed="1" x14ac:dyDescent="0.3">
      <c r="A152" s="29"/>
      <c r="B152" s="14" t="str">
        <f>CONCATENATE("     ","Inventory Adjustment                              ")</f>
        <v xml:space="preserve">     Inventory Adjustment                              </v>
      </c>
      <c r="C152" s="14"/>
      <c r="D152" s="1">
        <f>SUM(OSRRefD22_12x_0)</f>
        <v>5100</v>
      </c>
      <c r="E152" s="1"/>
      <c r="F152" s="5">
        <f t="shared" si="63"/>
        <v>3.371244520364284E-3</v>
      </c>
      <c r="G152" s="1"/>
      <c r="H152" s="1">
        <f>SUM(OSRRefH22_12x_0)</f>
        <v>2100</v>
      </c>
      <c r="I152" s="1"/>
      <c r="J152" s="5">
        <f t="shared" si="64"/>
        <v>1.3148921915822215E-3</v>
      </c>
      <c r="K152" s="1"/>
      <c r="L152" s="1">
        <f t="shared" si="65"/>
        <v>3000</v>
      </c>
      <c r="M152" s="1"/>
      <c r="N152" s="5">
        <f t="shared" si="66"/>
        <v>1.4285714285714286</v>
      </c>
      <c r="O152" s="14"/>
      <c r="P152" s="1">
        <f>SUM(OSRRefP22_12x_0)</f>
        <v>10200</v>
      </c>
      <c r="Q152" s="1"/>
      <c r="R152" s="5">
        <f t="shared" si="67"/>
        <v>5.8847534386676894E-3</v>
      </c>
      <c r="S152" s="1"/>
      <c r="T152" s="1">
        <f>SUM(OSRRefT22_12x_0)</f>
        <v>4200</v>
      </c>
      <c r="U152" s="1"/>
      <c r="V152" s="5">
        <f t="shared" si="68"/>
        <v>2.3016771400648792E-3</v>
      </c>
      <c r="W152" s="1"/>
      <c r="X152" s="1">
        <f t="shared" si="69"/>
        <v>6000</v>
      </c>
      <c r="Y152" s="1"/>
      <c r="Z152" s="5">
        <f t="shared" si="70"/>
        <v>1.4285714285714286</v>
      </c>
    </row>
    <row r="153" spans="1:26" s="24" customFormat="1" hidden="1" outlineLevel="2" x14ac:dyDescent="0.3">
      <c r="A153" s="27"/>
      <c r="B153" s="11" t="str">
        <f>CONCATENATE("          ", "6408", " - ", "INVENTORY ADJUSTMENT")</f>
        <v xml:space="preserve">          6408 - INVENTORY ADJUSTMENT</v>
      </c>
      <c r="C153" s="11"/>
      <c r="D153" s="7">
        <v>5100</v>
      </c>
      <c r="E153" s="2"/>
      <c r="F153" s="8">
        <f t="shared" si="63"/>
        <v>3.371244520364284E-3</v>
      </c>
      <c r="G153" s="2"/>
      <c r="H153" s="7">
        <v>2100</v>
      </c>
      <c r="I153" s="2"/>
      <c r="J153" s="8">
        <f t="shared" si="64"/>
        <v>1.3148921915822215E-3</v>
      </c>
      <c r="K153" s="2"/>
      <c r="L153" s="7">
        <f t="shared" si="65"/>
        <v>3000</v>
      </c>
      <c r="M153" s="2"/>
      <c r="N153" s="8">
        <f t="shared" si="66"/>
        <v>1.4285714285714286</v>
      </c>
      <c r="O153" s="11"/>
      <c r="P153" s="7">
        <v>10200</v>
      </c>
      <c r="Q153" s="2"/>
      <c r="R153" s="8">
        <f t="shared" si="67"/>
        <v>5.8847534386676894E-3</v>
      </c>
      <c r="S153" s="2"/>
      <c r="T153" s="7">
        <v>4200</v>
      </c>
      <c r="U153" s="2"/>
      <c r="V153" s="8">
        <f t="shared" si="68"/>
        <v>2.3016771400648792E-3</v>
      </c>
      <c r="W153" s="2"/>
      <c r="X153" s="7">
        <f t="shared" si="69"/>
        <v>6000</v>
      </c>
      <c r="Y153" s="2"/>
      <c r="Z153" s="8">
        <f t="shared" si="70"/>
        <v>1.4285714285714286</v>
      </c>
    </row>
    <row r="154" spans="1:26" s="24" customFormat="1" hidden="1" outlineLevel="2" x14ac:dyDescent="0.3">
      <c r="A154" s="27"/>
      <c r="B154" s="11" t="str">
        <f>CONCATENATE("          ", "7741", " - ", "INV. SHRINKAGE-LOGO GIFTS")</f>
        <v xml:space="preserve">          7741 - INV. SHRINKAGE-LOGO GIFTS</v>
      </c>
      <c r="C154" s="11"/>
      <c r="D154" s="7"/>
      <c r="E154" s="2"/>
      <c r="F154" s="8">
        <f t="shared" si="63"/>
        <v>0</v>
      </c>
      <c r="G154" s="2"/>
      <c r="H154" s="7"/>
      <c r="I154" s="2"/>
      <c r="J154" s="8">
        <f t="shared" si="64"/>
        <v>0</v>
      </c>
      <c r="K154" s="2"/>
      <c r="L154" s="7">
        <f t="shared" si="65"/>
        <v>0</v>
      </c>
      <c r="M154" s="2"/>
      <c r="N154" s="8">
        <f t="shared" si="66"/>
        <v>0</v>
      </c>
      <c r="O154" s="11"/>
      <c r="P154" s="7"/>
      <c r="Q154" s="2"/>
      <c r="R154" s="8">
        <f t="shared" si="67"/>
        <v>0</v>
      </c>
      <c r="S154" s="2"/>
      <c r="T154" s="7">
        <v>0</v>
      </c>
      <c r="U154" s="2"/>
      <c r="V154" s="8">
        <f t="shared" si="68"/>
        <v>0</v>
      </c>
      <c r="W154" s="2"/>
      <c r="X154" s="7">
        <f t="shared" si="69"/>
        <v>0</v>
      </c>
      <c r="Y154" s="2"/>
      <c r="Z154" s="8">
        <f t="shared" si="70"/>
        <v>0</v>
      </c>
    </row>
    <row r="155" spans="1:26" s="28" customFormat="1" outlineLevel="1" collapsed="1" x14ac:dyDescent="0.3">
      <c r="A155" s="29"/>
      <c r="B155" s="14" t="str">
        <f>CONCATENATE("     ","Rent                                              ")</f>
        <v xml:space="preserve">     Rent                                              </v>
      </c>
      <c r="C155" s="14"/>
      <c r="D155" s="1">
        <f>SUM(OSRRefD22_13x_0)</f>
        <v>6100</v>
      </c>
      <c r="E155" s="1"/>
      <c r="F155" s="5">
        <f t="shared" ref="F155:F161" si="71">IF(D$12=0,0,D155/D$12)</f>
        <v>4.0322728576906147E-3</v>
      </c>
      <c r="G155" s="1"/>
      <c r="H155" s="1">
        <f>SUM(OSRRefH22_13x_0)</f>
        <v>6100</v>
      </c>
      <c r="I155" s="1"/>
      <c r="J155" s="5">
        <f t="shared" ref="J155:J161" si="72">IF(H$12=0,0,H155/H$12)</f>
        <v>3.8194487469769291E-3</v>
      </c>
      <c r="K155" s="1"/>
      <c r="L155" s="1">
        <f t="shared" ref="L155:L161" si="73">+D155-H155</f>
        <v>0</v>
      </c>
      <c r="M155" s="1"/>
      <c r="N155" s="5">
        <f t="shared" ref="N155:N161" si="74">IF(H155=0,0,L155/H155)</f>
        <v>0</v>
      </c>
      <c r="O155" s="14"/>
      <c r="P155" s="1">
        <f>SUM(OSRRefP22_13x_0)</f>
        <v>12200</v>
      </c>
      <c r="Q155" s="1"/>
      <c r="R155" s="5">
        <f t="shared" ref="R155:R161" si="75">IF(P$12=0,0,P155/P$12)</f>
        <v>7.0386266619358638E-3</v>
      </c>
      <c r="S155" s="1"/>
      <c r="T155" s="1">
        <f>SUM(OSRRefT22_13x_0)</f>
        <v>12200</v>
      </c>
      <c r="U155" s="1"/>
      <c r="V155" s="5">
        <f t="shared" ref="V155:V161" si="76">IF(T$12=0,0,T155/T$12)</f>
        <v>6.6858240735217919E-3</v>
      </c>
      <c r="W155" s="1"/>
      <c r="X155" s="1">
        <f t="shared" ref="X155:X161" si="77">+P155-T155</f>
        <v>0</v>
      </c>
      <c r="Y155" s="1"/>
      <c r="Z155" s="5">
        <f t="shared" ref="Z155:Z161" si="78">IF(T155=0,0,X155/T155)</f>
        <v>0</v>
      </c>
    </row>
    <row r="156" spans="1:26" s="24" customFormat="1" hidden="1" outlineLevel="2" x14ac:dyDescent="0.3">
      <c r="A156" s="27"/>
      <c r="B156" s="11" t="str">
        <f>CONCATENATE("          ", "6273", " - ", "RENT")</f>
        <v xml:space="preserve">          6273 - RENT</v>
      </c>
      <c r="C156" s="11"/>
      <c r="D156" s="7">
        <v>6100</v>
      </c>
      <c r="E156" s="2"/>
      <c r="F156" s="8">
        <f t="shared" si="71"/>
        <v>4.0322728576906147E-3</v>
      </c>
      <c r="G156" s="2"/>
      <c r="H156" s="7">
        <v>6100</v>
      </c>
      <c r="I156" s="2"/>
      <c r="J156" s="8">
        <f t="shared" si="72"/>
        <v>3.8194487469769291E-3</v>
      </c>
      <c r="K156" s="2"/>
      <c r="L156" s="7">
        <f t="shared" si="73"/>
        <v>0</v>
      </c>
      <c r="M156" s="2"/>
      <c r="N156" s="8">
        <f t="shared" si="74"/>
        <v>0</v>
      </c>
      <c r="O156" s="11"/>
      <c r="P156" s="7">
        <v>12200</v>
      </c>
      <c r="Q156" s="2"/>
      <c r="R156" s="8">
        <f t="shared" si="75"/>
        <v>7.0386266619358638E-3</v>
      </c>
      <c r="S156" s="2"/>
      <c r="T156" s="7">
        <v>12200</v>
      </c>
      <c r="U156" s="2"/>
      <c r="V156" s="8">
        <f t="shared" si="76"/>
        <v>6.6858240735217919E-3</v>
      </c>
      <c r="W156" s="2"/>
      <c r="X156" s="7">
        <f t="shared" si="77"/>
        <v>0</v>
      </c>
      <c r="Y156" s="2"/>
      <c r="Z156" s="8">
        <f t="shared" si="78"/>
        <v>0</v>
      </c>
    </row>
    <row r="157" spans="1:26" s="28" customFormat="1" outlineLevel="1" collapsed="1" x14ac:dyDescent="0.3">
      <c r="A157" s="29"/>
      <c r="B157" s="14" t="str">
        <f>CONCATENATE("     ","Repair and Maintenance                            ")</f>
        <v xml:space="preserve">     Repair and Maintenance                            </v>
      </c>
      <c r="C157" s="14"/>
      <c r="D157" s="1">
        <f>SUM(OSRRefD22_14x_0)</f>
        <v>8064.33</v>
      </c>
      <c r="E157" s="1"/>
      <c r="F157" s="5">
        <f t="shared" si="71"/>
        <v>5.3307506515508441E-3</v>
      </c>
      <c r="G157" s="1"/>
      <c r="H157" s="1">
        <f>SUM(OSRRefH22_14x_0)</f>
        <v>6705.0199999999995</v>
      </c>
      <c r="I157" s="1"/>
      <c r="J157" s="5">
        <f t="shared" si="72"/>
        <v>4.1982754487631556E-3</v>
      </c>
      <c r="K157" s="1"/>
      <c r="L157" s="1">
        <f t="shared" si="73"/>
        <v>1359.3100000000004</v>
      </c>
      <c r="M157" s="1"/>
      <c r="N157" s="5">
        <f t="shared" si="74"/>
        <v>0.20273019319852895</v>
      </c>
      <c r="O157" s="14"/>
      <c r="P157" s="1">
        <f>SUM(OSRRefP22_14x_0)</f>
        <v>72827.06</v>
      </c>
      <c r="Q157" s="1"/>
      <c r="R157" s="5">
        <f t="shared" si="75"/>
        <v>4.2016597231672365E-2</v>
      </c>
      <c r="S157" s="1"/>
      <c r="T157" s="1">
        <f>SUM(OSRRefT22_14x_0)</f>
        <v>73052.790000000008</v>
      </c>
      <c r="U157" s="1"/>
      <c r="V157" s="5">
        <f t="shared" si="76"/>
        <v>4.003427065737148E-2</v>
      </c>
      <c r="W157" s="1"/>
      <c r="X157" s="1">
        <f t="shared" si="77"/>
        <v>-225.73000000001048</v>
      </c>
      <c r="Y157" s="1"/>
      <c r="Z157" s="5">
        <f t="shared" si="78"/>
        <v>-3.089957276101439E-3</v>
      </c>
    </row>
    <row r="158" spans="1:26" s="24" customFormat="1" hidden="1" outlineLevel="2" x14ac:dyDescent="0.3">
      <c r="A158" s="27"/>
      <c r="B158" s="11" t="str">
        <f>CONCATENATE("          ", "6371", " - ", "COMPUTER SOFTWARE MAINTENANCE")</f>
        <v xml:space="preserve">          6371 - COMPUTER SOFTWARE MAINTENANCE</v>
      </c>
      <c r="C158" s="11"/>
      <c r="D158" s="7">
        <v>0</v>
      </c>
      <c r="E158" s="2"/>
      <c r="F158" s="8">
        <f t="shared" si="71"/>
        <v>0</v>
      </c>
      <c r="G158" s="2"/>
      <c r="H158" s="7"/>
      <c r="I158" s="2"/>
      <c r="J158" s="8">
        <f t="shared" si="72"/>
        <v>0</v>
      </c>
      <c r="K158" s="2"/>
      <c r="L158" s="7">
        <f t="shared" si="73"/>
        <v>0</v>
      </c>
      <c r="M158" s="2"/>
      <c r="N158" s="8">
        <f t="shared" si="74"/>
        <v>0</v>
      </c>
      <c r="O158" s="11"/>
      <c r="P158" s="7">
        <v>59623.5</v>
      </c>
      <c r="Q158" s="2"/>
      <c r="R158" s="8">
        <f t="shared" si="75"/>
        <v>3.4398980063764996E-2</v>
      </c>
      <c r="S158" s="2"/>
      <c r="T158" s="7">
        <v>58428.78</v>
      </c>
      <c r="U158" s="2"/>
      <c r="V158" s="8">
        <f t="shared" si="76"/>
        <v>3.2020044582828575E-2</v>
      </c>
      <c r="W158" s="2"/>
      <c r="X158" s="7">
        <f t="shared" si="77"/>
        <v>1194.7200000000012</v>
      </c>
      <c r="Y158" s="2"/>
      <c r="Z158" s="8">
        <f t="shared" si="78"/>
        <v>2.044745757142287E-2</v>
      </c>
    </row>
    <row r="159" spans="1:26" s="24" customFormat="1" hidden="1" outlineLevel="2" x14ac:dyDescent="0.3">
      <c r="A159" s="27"/>
      <c r="B159" s="11" t="str">
        <f>CONCATENATE("          ", "6372", " - ", "COMPUTER HARDWARE MAINTENANCE")</f>
        <v xml:space="preserve">          6372 - COMPUTER HARDWARE MAINTENANCE</v>
      </c>
      <c r="C159" s="11"/>
      <c r="D159" s="7"/>
      <c r="E159" s="2"/>
      <c r="F159" s="8">
        <f t="shared" si="71"/>
        <v>0</v>
      </c>
      <c r="G159" s="2"/>
      <c r="H159" s="7">
        <v>0.98</v>
      </c>
      <c r="I159" s="2"/>
      <c r="J159" s="8">
        <f t="shared" si="72"/>
        <v>6.1361635607170333E-7</v>
      </c>
      <c r="K159" s="2"/>
      <c r="L159" s="7">
        <f t="shared" si="73"/>
        <v>-0.98</v>
      </c>
      <c r="M159" s="2"/>
      <c r="N159" s="8">
        <f t="shared" si="74"/>
        <v>-1</v>
      </c>
      <c r="O159" s="11"/>
      <c r="P159" s="7"/>
      <c r="Q159" s="2"/>
      <c r="R159" s="8">
        <f t="shared" si="75"/>
        <v>0</v>
      </c>
      <c r="S159" s="2"/>
      <c r="T159" s="7">
        <v>0.98</v>
      </c>
      <c r="U159" s="2"/>
      <c r="V159" s="8">
        <f t="shared" si="76"/>
        <v>5.370579993484718E-7</v>
      </c>
      <c r="W159" s="2"/>
      <c r="X159" s="7">
        <f t="shared" si="77"/>
        <v>-0.98</v>
      </c>
      <c r="Y159" s="2"/>
      <c r="Z159" s="8">
        <f t="shared" si="78"/>
        <v>-1</v>
      </c>
    </row>
    <row r="160" spans="1:26" s="24" customFormat="1" hidden="1" outlineLevel="2" x14ac:dyDescent="0.3">
      <c r="A160" s="27"/>
      <c r="B160" s="11" t="str">
        <f>CONCATENATE("          ", "6373", " - ", "MAINTENANCE CONTRACTS")</f>
        <v xml:space="preserve">          6373 - MAINTENANCE CONTRACTS</v>
      </c>
      <c r="C160" s="11"/>
      <c r="D160" s="7">
        <v>6010.42</v>
      </c>
      <c r="E160" s="2"/>
      <c r="F160" s="8">
        <f t="shared" si="71"/>
        <v>3.9730579392329218E-3</v>
      </c>
      <c r="G160" s="2"/>
      <c r="H160" s="7">
        <v>6370.22</v>
      </c>
      <c r="I160" s="2"/>
      <c r="J160" s="8">
        <f t="shared" si="72"/>
        <v>3.988644065076619E-3</v>
      </c>
      <c r="K160" s="2"/>
      <c r="L160" s="7">
        <f t="shared" si="73"/>
        <v>-359.80000000000018</v>
      </c>
      <c r="M160" s="2"/>
      <c r="N160" s="8">
        <f t="shared" si="74"/>
        <v>-5.6481565785797064E-2</v>
      </c>
      <c r="O160" s="11"/>
      <c r="P160" s="7">
        <v>6665.05</v>
      </c>
      <c r="Q160" s="2"/>
      <c r="R160" s="8">
        <f t="shared" si="75"/>
        <v>3.8453113633717729E-3</v>
      </c>
      <c r="S160" s="2"/>
      <c r="T160" s="7">
        <v>12786.23</v>
      </c>
      <c r="U160" s="2"/>
      <c r="V160" s="8">
        <f t="shared" si="76"/>
        <v>7.0070888806218479E-3</v>
      </c>
      <c r="W160" s="2"/>
      <c r="X160" s="7">
        <f t="shared" si="77"/>
        <v>-6121.1799999999994</v>
      </c>
      <c r="Y160" s="2"/>
      <c r="Z160" s="8">
        <f t="shared" si="78"/>
        <v>-0.47873219862304994</v>
      </c>
    </row>
    <row r="161" spans="1:26" s="24" customFormat="1" hidden="1" outlineLevel="2" x14ac:dyDescent="0.3">
      <c r="A161" s="27"/>
      <c r="B161" s="11" t="str">
        <f>CONCATENATE("          ", "6375", " - ", "OUTSIDE REPAIRS &amp; MAINTENANCE")</f>
        <v xml:space="preserve">          6375 - OUTSIDE REPAIRS &amp; MAINTENANCE</v>
      </c>
      <c r="C161" s="11"/>
      <c r="D161" s="7">
        <v>2053.91</v>
      </c>
      <c r="E161" s="2"/>
      <c r="F161" s="8">
        <f t="shared" si="71"/>
        <v>1.3576927123179227E-3</v>
      </c>
      <c r="G161" s="2"/>
      <c r="H161" s="7">
        <v>333.82</v>
      </c>
      <c r="I161" s="2"/>
      <c r="J161" s="8">
        <f t="shared" si="72"/>
        <v>2.0901776733046532E-4</v>
      </c>
      <c r="K161" s="2"/>
      <c r="L161" s="7">
        <f t="shared" si="73"/>
        <v>1720.09</v>
      </c>
      <c r="M161" s="2"/>
      <c r="N161" s="8">
        <f t="shared" si="74"/>
        <v>5.1527469893954825</v>
      </c>
      <c r="O161" s="11"/>
      <c r="P161" s="7">
        <v>6538.51</v>
      </c>
      <c r="Q161" s="2"/>
      <c r="R161" s="8">
        <f t="shared" si="75"/>
        <v>3.7723058045355954E-3</v>
      </c>
      <c r="S161" s="2"/>
      <c r="T161" s="7">
        <v>1836.8</v>
      </c>
      <c r="U161" s="2"/>
      <c r="V161" s="8">
        <f t="shared" si="76"/>
        <v>1.0066001359217071E-3</v>
      </c>
      <c r="W161" s="2"/>
      <c r="X161" s="7">
        <f t="shared" si="77"/>
        <v>4701.71</v>
      </c>
      <c r="Y161" s="2"/>
      <c r="Z161" s="8">
        <f t="shared" si="78"/>
        <v>2.5597288763066204</v>
      </c>
    </row>
    <row r="162" spans="1:26" s="28" customFormat="1" outlineLevel="1" collapsed="1" x14ac:dyDescent="0.3">
      <c r="A162" s="29"/>
      <c r="B162" s="14" t="str">
        <f>CONCATENATE("     ","Royalty &amp; Commissions                             ")</f>
        <v xml:space="preserve">     Royalty &amp; Commissions                             </v>
      </c>
      <c r="C162" s="14"/>
      <c r="D162" s="1">
        <f>SUM(OSRRefD22_15x_0)</f>
        <v>601.89</v>
      </c>
      <c r="E162" s="1"/>
      <c r="F162" s="5">
        <f t="shared" ref="F162:F165" si="79">IF(D$12=0,0,D162/D$12)</f>
        <v>3.9786634595334488E-4</v>
      </c>
      <c r="G162" s="1"/>
      <c r="H162" s="1">
        <f>SUM(OSRRefH22_15x_0)</f>
        <v>2254.65</v>
      </c>
      <c r="I162" s="1"/>
      <c r="J162" s="5">
        <f t="shared" ref="J162:J165" si="80">IF(H$12=0,0,H162/H$12)</f>
        <v>1.4117246094051694E-3</v>
      </c>
      <c r="K162" s="1"/>
      <c r="L162" s="1">
        <f t="shared" ref="L162:L165" si="81">+D162-H162</f>
        <v>-1652.7600000000002</v>
      </c>
      <c r="M162" s="1"/>
      <c r="N162" s="5">
        <f t="shared" ref="N162:N165" si="82">IF(H162=0,0,L162/H162)</f>
        <v>-0.73304504025014972</v>
      </c>
      <c r="O162" s="14"/>
      <c r="P162" s="1">
        <f>SUM(OSRRefP22_15x_0)</f>
        <v>7956.9900000000007</v>
      </c>
      <c r="Q162" s="1"/>
      <c r="R162" s="5">
        <f t="shared" ref="R162:R165" si="83">IF(P$12=0,0,P162/P$12)</f>
        <v>4.5906788494063161E-3</v>
      </c>
      <c r="S162" s="1"/>
      <c r="T162" s="1">
        <f>SUM(OSRRefT22_15x_0)</f>
        <v>13244.4</v>
      </c>
      <c r="U162" s="1"/>
      <c r="V162" s="5">
        <f t="shared" ref="V162:V165" si="84">IF(T$12=0,0,T162/T$12)</f>
        <v>7.2581744556845917E-3</v>
      </c>
      <c r="W162" s="1"/>
      <c r="X162" s="1">
        <f t="shared" ref="X162:X165" si="85">+P162-T162</f>
        <v>-5287.4099999999989</v>
      </c>
      <c r="Y162" s="1"/>
      <c r="Z162" s="5">
        <f t="shared" ref="Z162:Z165" si="86">IF(T162=0,0,X162/T162)</f>
        <v>-0.39921853764609944</v>
      </c>
    </row>
    <row r="163" spans="1:26" s="24" customFormat="1" hidden="1" outlineLevel="2" x14ac:dyDescent="0.3">
      <c r="A163" s="27"/>
      <c r="B163" s="11" t="str">
        <f>CONCATENATE("          ", "6253", " - ", "ROYALTY DUE ATHLETICS-LRG")</f>
        <v xml:space="preserve">          6253 - ROYALTY DUE ATHLETICS-LRG</v>
      </c>
      <c r="C163" s="11"/>
      <c r="D163" s="7"/>
      <c r="E163" s="2"/>
      <c r="F163" s="8">
        <f t="shared" si="79"/>
        <v>0</v>
      </c>
      <c r="G163" s="2"/>
      <c r="H163" s="7">
        <v>2250</v>
      </c>
      <c r="I163" s="2"/>
      <c r="J163" s="8">
        <f t="shared" si="80"/>
        <v>1.4088130624095229E-3</v>
      </c>
      <c r="K163" s="2"/>
      <c r="L163" s="7">
        <f t="shared" si="81"/>
        <v>-2250</v>
      </c>
      <c r="M163" s="2"/>
      <c r="N163" s="8">
        <f t="shared" si="82"/>
        <v>-1</v>
      </c>
      <c r="O163" s="11"/>
      <c r="P163" s="7">
        <v>14376.54</v>
      </c>
      <c r="Q163" s="2"/>
      <c r="R163" s="8">
        <f t="shared" si="83"/>
        <v>8.2943522746219203E-3</v>
      </c>
      <c r="S163" s="2"/>
      <c r="T163" s="7">
        <v>7922.2</v>
      </c>
      <c r="U163" s="2"/>
      <c r="V163" s="8">
        <f t="shared" si="84"/>
        <v>4.3415111045290444E-3</v>
      </c>
      <c r="W163" s="2"/>
      <c r="X163" s="7">
        <f t="shared" si="85"/>
        <v>6454.3400000000011</v>
      </c>
      <c r="Y163" s="2"/>
      <c r="Z163" s="8">
        <f t="shared" si="86"/>
        <v>0.81471560930044695</v>
      </c>
    </row>
    <row r="164" spans="1:26" s="24" customFormat="1" hidden="1" outlineLevel="2" x14ac:dyDescent="0.3">
      <c r="A164" s="27"/>
      <c r="B164" s="11" t="str">
        <f>CONCATENATE("          ", "6254", " - ", "ROYALTY &amp; COMMISSIONS")</f>
        <v xml:space="preserve">          6254 - ROYALTY &amp; COMMISSIONS</v>
      </c>
      <c r="C164" s="11"/>
      <c r="D164" s="7"/>
      <c r="E164" s="2"/>
      <c r="F164" s="8">
        <f t="shared" si="79"/>
        <v>0</v>
      </c>
      <c r="G164" s="2"/>
      <c r="H164" s="7"/>
      <c r="I164" s="2"/>
      <c r="J164" s="8">
        <f t="shared" si="80"/>
        <v>0</v>
      </c>
      <c r="K164" s="2"/>
      <c r="L164" s="7">
        <f t="shared" si="81"/>
        <v>0</v>
      </c>
      <c r="M164" s="2"/>
      <c r="N164" s="8">
        <f t="shared" si="82"/>
        <v>0</v>
      </c>
      <c r="O164" s="11"/>
      <c r="P164" s="7">
        <v>-7027.5</v>
      </c>
      <c r="Q164" s="2"/>
      <c r="R164" s="8">
        <f t="shared" si="83"/>
        <v>-4.0544220382585476E-3</v>
      </c>
      <c r="S164" s="2"/>
      <c r="T164" s="7"/>
      <c r="U164" s="2"/>
      <c r="V164" s="8">
        <f t="shared" si="84"/>
        <v>0</v>
      </c>
      <c r="W164" s="2"/>
      <c r="X164" s="7">
        <f t="shared" si="85"/>
        <v>-7027.5</v>
      </c>
      <c r="Y164" s="2"/>
      <c r="Z164" s="8">
        <f t="shared" si="86"/>
        <v>0</v>
      </c>
    </row>
    <row r="165" spans="1:26" s="24" customFormat="1" hidden="1" outlineLevel="2" x14ac:dyDescent="0.3">
      <c r="A165" s="27"/>
      <c r="B165" s="11" t="str">
        <f>CONCATENATE("          ", "6259", " - ", "ROYALTY &amp; COMMISSIONS")</f>
        <v xml:space="preserve">          6259 - ROYALTY &amp; COMMISSIONS</v>
      </c>
      <c r="C165" s="11"/>
      <c r="D165" s="7">
        <v>601.89</v>
      </c>
      <c r="E165" s="2"/>
      <c r="F165" s="8">
        <f t="shared" si="79"/>
        <v>3.9786634595334488E-4</v>
      </c>
      <c r="G165" s="2"/>
      <c r="H165" s="7">
        <v>4.6500000000000004</v>
      </c>
      <c r="I165" s="2"/>
      <c r="J165" s="8">
        <f t="shared" si="80"/>
        <v>2.9115469956463479E-6</v>
      </c>
      <c r="K165" s="2"/>
      <c r="L165" s="7">
        <f t="shared" si="81"/>
        <v>597.24</v>
      </c>
      <c r="M165" s="2"/>
      <c r="N165" s="8">
        <f t="shared" si="82"/>
        <v>128.43870967741935</v>
      </c>
      <c r="O165" s="11"/>
      <c r="P165" s="7">
        <v>607.95000000000005</v>
      </c>
      <c r="Q165" s="2"/>
      <c r="R165" s="8">
        <f t="shared" si="83"/>
        <v>3.5074861304294335E-4</v>
      </c>
      <c r="S165" s="2"/>
      <c r="T165" s="7">
        <v>5322.2</v>
      </c>
      <c r="U165" s="2"/>
      <c r="V165" s="8">
        <f t="shared" si="84"/>
        <v>2.9166633511555477E-3</v>
      </c>
      <c r="W165" s="2"/>
      <c r="X165" s="7">
        <f t="shared" si="85"/>
        <v>-4714.25</v>
      </c>
      <c r="Y165" s="2"/>
      <c r="Z165" s="8">
        <f t="shared" si="86"/>
        <v>-0.88577092179925598</v>
      </c>
    </row>
    <row r="166" spans="1:26" s="28" customFormat="1" outlineLevel="1" collapsed="1" x14ac:dyDescent="0.3">
      <c r="A166" s="29"/>
      <c r="B166" s="14" t="str">
        <f>CONCATENATE("     ","Services                                          ")</f>
        <v xml:space="preserve">     Services                                          </v>
      </c>
      <c r="C166" s="14"/>
      <c r="D166" s="1">
        <f>SUM(OSRRefD22_16x_0)</f>
        <v>12958.730000000001</v>
      </c>
      <c r="E166" s="1"/>
      <c r="F166" s="5">
        <f t="shared" ref="F166:F170" si="87">IF(D$12=0,0,D166/D$12)</f>
        <v>8.5660877457608368E-3</v>
      </c>
      <c r="G166" s="1"/>
      <c r="H166" s="1">
        <f>SUM(OSRRefH22_16x_0)</f>
        <v>421.78</v>
      </c>
      <c r="I166" s="1"/>
      <c r="J166" s="5">
        <f t="shared" ref="J166:J170" si="88">IF(H$12=0,0,H166/H$12)</f>
        <v>2.6409296598359493E-4</v>
      </c>
      <c r="K166" s="1"/>
      <c r="L166" s="1">
        <f t="shared" ref="L166:L170" si="89">+D166-H166</f>
        <v>12536.95</v>
      </c>
      <c r="M166" s="1"/>
      <c r="N166" s="5">
        <f t="shared" ref="N166:N170" si="90">IF(H166=0,0,L166/H166)</f>
        <v>29.723908198586944</v>
      </c>
      <c r="O166" s="14"/>
      <c r="P166" s="1">
        <f>SUM(OSRRefP22_16x_0)</f>
        <v>16965.05</v>
      </c>
      <c r="Q166" s="1"/>
      <c r="R166" s="5">
        <f t="shared" ref="R166:R170" si="91">IF(P$12=0,0,P166/P$12)</f>
        <v>9.7877584632028707E-3</v>
      </c>
      <c r="S166" s="1"/>
      <c r="T166" s="1">
        <f>SUM(OSRRefT22_16x_0)</f>
        <v>4305.5200000000004</v>
      </c>
      <c r="U166" s="1"/>
      <c r="V166" s="5">
        <f t="shared" ref="V166:V170" si="92">IF(T$12=0,0,T166/T$12)</f>
        <v>2.3595040381171762E-3</v>
      </c>
      <c r="W166" s="1"/>
      <c r="X166" s="1">
        <f t="shared" ref="X166:X170" si="93">+P166-T166</f>
        <v>12659.529999999999</v>
      </c>
      <c r="Y166" s="1"/>
      <c r="Z166" s="5">
        <f t="shared" ref="Z166:Z170" si="94">IF(T166=0,0,X166/T166)</f>
        <v>2.9403022166892727</v>
      </c>
    </row>
    <row r="167" spans="1:26" s="24" customFormat="1" hidden="1" outlineLevel="2" x14ac:dyDescent="0.3">
      <c r="A167" s="27"/>
      <c r="B167" s="11" t="str">
        <f>CONCATENATE("          ", "6282", " - ", "JANITORIAL/EXTERMINATOR EXPENS")</f>
        <v xml:space="preserve">          6282 - JANITORIAL/EXTERMINATOR EXPENS</v>
      </c>
      <c r="C167" s="11"/>
      <c r="D167" s="7">
        <v>291</v>
      </c>
      <c r="E167" s="2"/>
      <c r="F167" s="8">
        <f t="shared" si="87"/>
        <v>1.9235924616196209E-4</v>
      </c>
      <c r="G167" s="2"/>
      <c r="H167" s="7">
        <v>339.94</v>
      </c>
      <c r="I167" s="2"/>
      <c r="J167" s="8">
        <f t="shared" si="88"/>
        <v>2.1284973886021922E-4</v>
      </c>
      <c r="K167" s="2"/>
      <c r="L167" s="7">
        <f t="shared" si="89"/>
        <v>-48.94</v>
      </c>
      <c r="M167" s="2"/>
      <c r="N167" s="8">
        <f t="shared" si="90"/>
        <v>-0.14396658233805965</v>
      </c>
      <c r="O167" s="11"/>
      <c r="P167" s="7">
        <v>291</v>
      </c>
      <c r="Q167" s="2"/>
      <c r="R167" s="8">
        <f t="shared" si="91"/>
        <v>1.6788855398551937E-4</v>
      </c>
      <c r="S167" s="2"/>
      <c r="T167" s="7">
        <v>476.44</v>
      </c>
      <c r="U167" s="2"/>
      <c r="V167" s="8">
        <f t="shared" si="92"/>
        <v>2.6109787062202647E-4</v>
      </c>
      <c r="W167" s="2"/>
      <c r="X167" s="7">
        <f t="shared" si="93"/>
        <v>-185.44</v>
      </c>
      <c r="Y167" s="2"/>
      <c r="Z167" s="8">
        <f t="shared" si="94"/>
        <v>-0.38922004869448407</v>
      </c>
    </row>
    <row r="168" spans="1:26" s="24" customFormat="1" hidden="1" outlineLevel="2" x14ac:dyDescent="0.3">
      <c r="A168" s="27"/>
      <c r="B168" s="11" t="str">
        <f>CONCATENATE("          ", "6283", " - ", "PLANT SERVICE")</f>
        <v xml:space="preserve">          6283 - PLANT SERVICE</v>
      </c>
      <c r="C168" s="11"/>
      <c r="D168" s="7"/>
      <c r="E168" s="2"/>
      <c r="F168" s="8">
        <f t="shared" si="87"/>
        <v>0</v>
      </c>
      <c r="G168" s="2"/>
      <c r="H168" s="7"/>
      <c r="I168" s="2"/>
      <c r="J168" s="8">
        <f t="shared" si="88"/>
        <v>0</v>
      </c>
      <c r="K168" s="2"/>
      <c r="L168" s="7">
        <f t="shared" si="89"/>
        <v>0</v>
      </c>
      <c r="M168" s="2"/>
      <c r="N168" s="8">
        <f t="shared" si="90"/>
        <v>0</v>
      </c>
      <c r="O168" s="11"/>
      <c r="P168" s="7"/>
      <c r="Q168" s="2"/>
      <c r="R168" s="8">
        <f t="shared" si="91"/>
        <v>0</v>
      </c>
      <c r="S168" s="2"/>
      <c r="T168" s="7">
        <v>130</v>
      </c>
      <c r="U168" s="2"/>
      <c r="V168" s="8">
        <f t="shared" si="92"/>
        <v>7.1242387668674838E-5</v>
      </c>
      <c r="W168" s="2"/>
      <c r="X168" s="7">
        <f t="shared" si="93"/>
        <v>-130</v>
      </c>
      <c r="Y168" s="2"/>
      <c r="Z168" s="8">
        <f t="shared" si="94"/>
        <v>-1</v>
      </c>
    </row>
    <row r="169" spans="1:26" s="24" customFormat="1" hidden="1" outlineLevel="2" x14ac:dyDescent="0.3">
      <c r="A169" s="27"/>
      <c r="B169" s="11" t="str">
        <f>CONCATENATE("          ", "6284", " - ", "TRASH REMOVAL EXPENSE")</f>
        <v xml:space="preserve">          6284 - TRASH REMOVAL EXPENSE</v>
      </c>
      <c r="C169" s="11"/>
      <c r="D169" s="7">
        <v>149.69999999999999</v>
      </c>
      <c r="E169" s="2"/>
      <c r="F169" s="8">
        <f t="shared" si="87"/>
        <v>9.8955942097751621E-5</v>
      </c>
      <c r="G169" s="2"/>
      <c r="H169" s="7">
        <v>142.57</v>
      </c>
      <c r="I169" s="2"/>
      <c r="J169" s="8">
        <f t="shared" si="88"/>
        <v>8.9268657025655859E-5</v>
      </c>
      <c r="K169" s="2"/>
      <c r="L169" s="7">
        <f t="shared" si="89"/>
        <v>7.1299999999999955</v>
      </c>
      <c r="M169" s="2"/>
      <c r="N169" s="8">
        <f t="shared" si="90"/>
        <v>5.0010521147506461E-2</v>
      </c>
      <c r="O169" s="11"/>
      <c r="P169" s="7">
        <v>292.27</v>
      </c>
      <c r="Q169" s="2"/>
      <c r="R169" s="8">
        <f t="shared" si="91"/>
        <v>1.6862126348229464E-4</v>
      </c>
      <c r="S169" s="2"/>
      <c r="T169" s="7">
        <v>285.14</v>
      </c>
      <c r="U169" s="2"/>
      <c r="V169" s="8">
        <f t="shared" si="92"/>
        <v>1.5626195707573801E-4</v>
      </c>
      <c r="W169" s="2"/>
      <c r="X169" s="7">
        <f t="shared" si="93"/>
        <v>7.1299999999999955</v>
      </c>
      <c r="Y169" s="2"/>
      <c r="Z169" s="8">
        <f t="shared" si="94"/>
        <v>2.500526057375323E-2</v>
      </c>
    </row>
    <row r="170" spans="1:26" s="24" customFormat="1" hidden="1" outlineLevel="2" x14ac:dyDescent="0.3">
      <c r="A170" s="27"/>
      <c r="B170" s="11" t="str">
        <f>CONCATENATE("          ", "6285", " - ", "JANITORIAL SERVICES")</f>
        <v xml:space="preserve">          6285 - JANITORIAL SERVICES</v>
      </c>
      <c r="C170" s="11"/>
      <c r="D170" s="7">
        <v>12518.03</v>
      </c>
      <c r="E170" s="2"/>
      <c r="F170" s="8">
        <f t="shared" si="87"/>
        <v>8.2747725575011213E-3</v>
      </c>
      <c r="G170" s="2"/>
      <c r="H170" s="7">
        <v>-60.73</v>
      </c>
      <c r="I170" s="2"/>
      <c r="J170" s="8">
        <f t="shared" si="88"/>
        <v>-3.8025429902280146E-5</v>
      </c>
      <c r="K170" s="2"/>
      <c r="L170" s="7">
        <f t="shared" si="89"/>
        <v>12578.76</v>
      </c>
      <c r="M170" s="2"/>
      <c r="N170" s="8">
        <f t="shared" si="90"/>
        <v>-207.12596739667381</v>
      </c>
      <c r="O170" s="11"/>
      <c r="P170" s="7">
        <v>16381.78</v>
      </c>
      <c r="Q170" s="2"/>
      <c r="R170" s="8">
        <f t="shared" si="91"/>
        <v>9.4512486457350563E-3</v>
      </c>
      <c r="S170" s="2"/>
      <c r="T170" s="7">
        <v>3413.94</v>
      </c>
      <c r="U170" s="2"/>
      <c r="V170" s="8">
        <f t="shared" si="92"/>
        <v>1.8709018227507366E-3</v>
      </c>
      <c r="W170" s="2"/>
      <c r="X170" s="7">
        <f t="shared" si="93"/>
        <v>12967.84</v>
      </c>
      <c r="Y170" s="2"/>
      <c r="Z170" s="8">
        <f t="shared" si="94"/>
        <v>3.7984967515539232</v>
      </c>
    </row>
    <row r="171" spans="1:26" s="28" customFormat="1" outlineLevel="1" collapsed="1" x14ac:dyDescent="0.3">
      <c r="A171" s="29"/>
      <c r="B171" s="14" t="str">
        <f>CONCATENATE("     ","Subscriptions &amp; Dues                              ")</f>
        <v xml:space="preserve">     Subscriptions &amp; Dues                              </v>
      </c>
      <c r="C171" s="14"/>
      <c r="D171" s="1">
        <f>SUM(OSRRefD22_17x_0)</f>
        <v>57</v>
      </c>
      <c r="E171" s="1"/>
      <c r="F171" s="5">
        <f t="shared" ref="F171:F173" si="95">IF(D$12=0,0,D171/D$12)</f>
        <v>3.7678615227600819E-5</v>
      </c>
      <c r="G171" s="1"/>
      <c r="H171" s="1">
        <f>SUM(OSRRefH22_17x_0)</f>
        <v>270</v>
      </c>
      <c r="I171" s="1"/>
      <c r="J171" s="5">
        <f t="shared" ref="J171:J173" si="96">IF(H$12=0,0,H171/H$12)</f>
        <v>1.6905756748914275E-4</v>
      </c>
      <c r="K171" s="1"/>
      <c r="L171" s="1">
        <f t="shared" ref="L171:L173" si="97">+D171-H171</f>
        <v>-213</v>
      </c>
      <c r="M171" s="1"/>
      <c r="N171" s="5">
        <f t="shared" ref="N171:N173" si="98">IF(H171=0,0,L171/H171)</f>
        <v>-0.78888888888888886</v>
      </c>
      <c r="O171" s="14"/>
      <c r="P171" s="1">
        <f>SUM(OSRRefP22_17x_0)</f>
        <v>125.32</v>
      </c>
      <c r="Q171" s="1"/>
      <c r="R171" s="5">
        <f t="shared" ref="R171:R173" si="99">IF(P$12=0,0,P171/P$12)</f>
        <v>7.23016961699838E-5</v>
      </c>
      <c r="S171" s="1"/>
      <c r="T171" s="1">
        <f>SUM(OSRRefT22_17x_0)</f>
        <v>635</v>
      </c>
      <c r="U171" s="1"/>
      <c r="V171" s="5">
        <f t="shared" ref="V171:V173" si="100">IF(T$12=0,0,T171/T$12)</f>
        <v>3.4799166284314248E-4</v>
      </c>
      <c r="W171" s="1"/>
      <c r="X171" s="1">
        <f t="shared" ref="X171:X173" si="101">+P171-T171</f>
        <v>-509.68</v>
      </c>
      <c r="Y171" s="1"/>
      <c r="Z171" s="5">
        <f t="shared" ref="Z171:Z173" si="102">IF(T171=0,0,X171/T171)</f>
        <v>-0.80264566929133863</v>
      </c>
    </row>
    <row r="172" spans="1:26" s="24" customFormat="1" hidden="1" outlineLevel="2" x14ac:dyDescent="0.3">
      <c r="A172" s="27"/>
      <c r="B172" s="11" t="str">
        <f>CONCATENATE("          ", "6258", " - ", "MEMBERSHIP DUES")</f>
        <v xml:space="preserve">          6258 - MEMBERSHIP DUES</v>
      </c>
      <c r="C172" s="11"/>
      <c r="D172" s="7">
        <v>57</v>
      </c>
      <c r="E172" s="2"/>
      <c r="F172" s="8">
        <f t="shared" si="95"/>
        <v>3.7678615227600819E-5</v>
      </c>
      <c r="G172" s="2"/>
      <c r="H172" s="7">
        <v>270</v>
      </c>
      <c r="I172" s="2"/>
      <c r="J172" s="8">
        <f t="shared" si="96"/>
        <v>1.6905756748914275E-4</v>
      </c>
      <c r="K172" s="2"/>
      <c r="L172" s="7">
        <f t="shared" si="97"/>
        <v>-213</v>
      </c>
      <c r="M172" s="2"/>
      <c r="N172" s="8">
        <f t="shared" si="98"/>
        <v>-0.78888888888888886</v>
      </c>
      <c r="O172" s="11"/>
      <c r="P172" s="7">
        <v>125.32</v>
      </c>
      <c r="Q172" s="2"/>
      <c r="R172" s="8">
        <f t="shared" si="99"/>
        <v>7.23016961699838E-5</v>
      </c>
      <c r="S172" s="2"/>
      <c r="T172" s="7">
        <v>560</v>
      </c>
      <c r="U172" s="2"/>
      <c r="V172" s="8">
        <f t="shared" si="100"/>
        <v>3.0689028534198391E-4</v>
      </c>
      <c r="W172" s="2"/>
      <c r="X172" s="7">
        <f t="shared" si="101"/>
        <v>-434.68</v>
      </c>
      <c r="Y172" s="2"/>
      <c r="Z172" s="8">
        <f t="shared" si="102"/>
        <v>-0.77621428571428575</v>
      </c>
    </row>
    <row r="173" spans="1:26" s="24" customFormat="1" hidden="1" outlineLevel="2" x14ac:dyDescent="0.3">
      <c r="A173" s="27"/>
      <c r="B173" s="11" t="str">
        <f>CONCATENATE("          ", "6275", " - ", "SUBSCRIPTIONS")</f>
        <v xml:space="preserve">          6275 - SUBSCRIPTIONS</v>
      </c>
      <c r="C173" s="11"/>
      <c r="D173" s="7"/>
      <c r="E173" s="2"/>
      <c r="F173" s="8">
        <f t="shared" si="95"/>
        <v>0</v>
      </c>
      <c r="G173" s="2"/>
      <c r="H173" s="7"/>
      <c r="I173" s="2"/>
      <c r="J173" s="8">
        <f t="shared" si="96"/>
        <v>0</v>
      </c>
      <c r="K173" s="2"/>
      <c r="L173" s="7">
        <f t="shared" si="97"/>
        <v>0</v>
      </c>
      <c r="M173" s="2"/>
      <c r="N173" s="8">
        <f t="shared" si="98"/>
        <v>0</v>
      </c>
      <c r="O173" s="11"/>
      <c r="P173" s="7"/>
      <c r="Q173" s="2"/>
      <c r="R173" s="8">
        <f t="shared" si="99"/>
        <v>0</v>
      </c>
      <c r="S173" s="2"/>
      <c r="T173" s="7">
        <v>75</v>
      </c>
      <c r="U173" s="2"/>
      <c r="V173" s="8">
        <f t="shared" si="100"/>
        <v>4.1101377501158559E-5</v>
      </c>
      <c r="W173" s="2"/>
      <c r="X173" s="7">
        <f t="shared" si="101"/>
        <v>-75</v>
      </c>
      <c r="Y173" s="2"/>
      <c r="Z173" s="8">
        <f t="shared" si="102"/>
        <v>-1</v>
      </c>
    </row>
    <row r="174" spans="1:26" s="28" customFormat="1" outlineLevel="1" collapsed="1" x14ac:dyDescent="0.3">
      <c r="A174" s="29"/>
      <c r="B174" s="14" t="str">
        <f>CONCATENATE("     ","Supplies                                          ")</f>
        <v xml:space="preserve">     Supplies                                          </v>
      </c>
      <c r="C174" s="14"/>
      <c r="D174" s="1">
        <f>SUM(OSRRefD22_18x_0)</f>
        <v>15148.35</v>
      </c>
      <c r="E174" s="1"/>
      <c r="F174" s="5">
        <f t="shared" ref="F174:F180" si="103">IF(D$12=0,0,D174/D$12)</f>
        <v>1.0013488613737315E-2</v>
      </c>
      <c r="G174" s="1"/>
      <c r="H174" s="1">
        <f>SUM(OSRRefH22_18x_0)</f>
        <v>8018.0199999999995</v>
      </c>
      <c r="I174" s="1"/>
      <c r="J174" s="5">
        <f t="shared" ref="J174:J180" si="104">IF(H$12=0,0,H174/H$12)</f>
        <v>5.0203961380714682E-3</v>
      </c>
      <c r="K174" s="1"/>
      <c r="L174" s="1">
        <f t="shared" ref="L174:L180" si="105">+D174-H174</f>
        <v>7130.3300000000008</v>
      </c>
      <c r="M174" s="1"/>
      <c r="N174" s="5">
        <f t="shared" ref="N174:N180" si="106">IF(H174=0,0,L174/H174)</f>
        <v>0.88928812849057515</v>
      </c>
      <c r="O174" s="14"/>
      <c r="P174" s="1">
        <f>SUM(OSRRefP22_18x_0)</f>
        <v>22234.71</v>
      </c>
      <c r="Q174" s="1"/>
      <c r="R174" s="5">
        <f t="shared" ref="R174:R180" si="107">IF(P$12=0,0,P174/P$12)</f>
        <v>1.2828018248066553E-2</v>
      </c>
      <c r="S174" s="1"/>
      <c r="T174" s="1">
        <f>SUM(OSRRefT22_18x_0)</f>
        <v>19537.940000000002</v>
      </c>
      <c r="U174" s="1"/>
      <c r="V174" s="5">
        <f t="shared" ref="V174:V180" si="108">IF(T$12=0,0,T174/T$12)</f>
        <v>1.0707149967133145E-2</v>
      </c>
      <c r="W174" s="1"/>
      <c r="X174" s="1">
        <f t="shared" ref="X174:X180" si="109">+P174-T174</f>
        <v>2696.7699999999968</v>
      </c>
      <c r="Y174" s="1"/>
      <c r="Z174" s="5">
        <f t="shared" ref="Z174:Z180" si="110">IF(T174=0,0,X174/T174)</f>
        <v>0.13802734576930814</v>
      </c>
    </row>
    <row r="175" spans="1:26" s="24" customFormat="1" hidden="1" outlineLevel="2" x14ac:dyDescent="0.3">
      <c r="A175" s="27"/>
      <c r="B175" s="11" t="str">
        <f>CONCATENATE("          ", "6235", " - ", "COVID-19 EXPENSES")</f>
        <v xml:space="preserve">          6235 - COVID-19 EXPENSES</v>
      </c>
      <c r="C175" s="11"/>
      <c r="D175" s="7">
        <v>2695.61</v>
      </c>
      <c r="E175" s="2"/>
      <c r="F175" s="8">
        <f t="shared" si="103"/>
        <v>1.781874596380229E-3</v>
      </c>
      <c r="G175" s="2"/>
      <c r="H175" s="7">
        <v>621.78</v>
      </c>
      <c r="I175" s="2"/>
      <c r="J175" s="8">
        <f t="shared" si="104"/>
        <v>3.8932079375333028E-4</v>
      </c>
      <c r="K175" s="2"/>
      <c r="L175" s="7">
        <f t="shared" si="105"/>
        <v>2073.83</v>
      </c>
      <c r="M175" s="2"/>
      <c r="N175" s="8">
        <f t="shared" si="106"/>
        <v>3.3353115249766798</v>
      </c>
      <c r="O175" s="11"/>
      <c r="P175" s="7">
        <v>2967.83</v>
      </c>
      <c r="Q175" s="2"/>
      <c r="R175" s="8">
        <f t="shared" si="107"/>
        <v>1.7122497841059929E-3</v>
      </c>
      <c r="S175" s="2"/>
      <c r="T175" s="7">
        <v>6633.89</v>
      </c>
      <c r="U175" s="2"/>
      <c r="V175" s="8">
        <f t="shared" si="108"/>
        <v>3.6354935625488101E-3</v>
      </c>
      <c r="W175" s="2"/>
      <c r="X175" s="7">
        <f t="shared" si="109"/>
        <v>-3666.0600000000004</v>
      </c>
      <c r="Y175" s="2"/>
      <c r="Z175" s="8">
        <f t="shared" si="110"/>
        <v>-0.55262598565848997</v>
      </c>
    </row>
    <row r="176" spans="1:26" s="24" customFormat="1" hidden="1" outlineLevel="2" x14ac:dyDescent="0.3">
      <c r="A176" s="27"/>
      <c r="B176" s="11" t="str">
        <f>CONCATENATE("          ", "6237", " - ", "JANITORIAL SUPPLIES")</f>
        <v xml:space="preserve">          6237 - JANITORIAL SUPPLIES</v>
      </c>
      <c r="C176" s="11"/>
      <c r="D176" s="7">
        <v>1169.72</v>
      </c>
      <c r="E176" s="2"/>
      <c r="F176" s="8">
        <f t="shared" si="103"/>
        <v>7.73218066737355E-4</v>
      </c>
      <c r="G176" s="2"/>
      <c r="H176" s="7"/>
      <c r="I176" s="2"/>
      <c r="J176" s="8">
        <f t="shared" si="104"/>
        <v>0</v>
      </c>
      <c r="K176" s="2"/>
      <c r="L176" s="7">
        <f t="shared" si="105"/>
        <v>1169.72</v>
      </c>
      <c r="M176" s="2"/>
      <c r="N176" s="8">
        <f t="shared" si="106"/>
        <v>0</v>
      </c>
      <c r="O176" s="11"/>
      <c r="P176" s="7">
        <v>1825.69</v>
      </c>
      <c r="Q176" s="2"/>
      <c r="R176" s="8">
        <f t="shared" si="107"/>
        <v>1.0533074024942366E-3</v>
      </c>
      <c r="S176" s="2"/>
      <c r="T176" s="7">
        <v>139.31</v>
      </c>
      <c r="U176" s="2"/>
      <c r="V176" s="8">
        <f t="shared" si="108"/>
        <v>7.6344438662485323E-5</v>
      </c>
      <c r="W176" s="2"/>
      <c r="X176" s="7">
        <f t="shared" si="109"/>
        <v>1686.38</v>
      </c>
      <c r="Y176" s="2"/>
      <c r="Z176" s="8">
        <f t="shared" si="110"/>
        <v>12.105232933744887</v>
      </c>
    </row>
    <row r="177" spans="1:26" s="24" customFormat="1" hidden="1" outlineLevel="2" x14ac:dyDescent="0.3">
      <c r="A177" s="27"/>
      <c r="B177" s="11" t="str">
        <f>CONCATENATE("          ", "6241", " - ", "OFFICE EXPENSE")</f>
        <v xml:space="preserve">          6241 - OFFICE EXPENSE</v>
      </c>
      <c r="C177" s="11"/>
      <c r="D177" s="7">
        <v>5354.33</v>
      </c>
      <c r="E177" s="2"/>
      <c r="F177" s="8">
        <f t="shared" si="103"/>
        <v>3.5393638573964895E-3</v>
      </c>
      <c r="G177" s="2"/>
      <c r="H177" s="7">
        <v>2293.5100000000002</v>
      </c>
      <c r="I177" s="2"/>
      <c r="J177" s="8">
        <f t="shared" si="104"/>
        <v>1.436056376340829E-3</v>
      </c>
      <c r="K177" s="2"/>
      <c r="L177" s="7">
        <f t="shared" si="105"/>
        <v>3060.8199999999997</v>
      </c>
      <c r="M177" s="2"/>
      <c r="N177" s="8">
        <f t="shared" si="106"/>
        <v>1.3345570762717405</v>
      </c>
      <c r="O177" s="11"/>
      <c r="P177" s="7">
        <v>5760.74</v>
      </c>
      <c r="Q177" s="2"/>
      <c r="R177" s="8">
        <f t="shared" si="107"/>
        <v>3.3235818161049513E-3</v>
      </c>
      <c r="S177" s="2"/>
      <c r="T177" s="7">
        <v>2723.92</v>
      </c>
      <c r="U177" s="2"/>
      <c r="V177" s="8">
        <f t="shared" si="108"/>
        <v>1.4927581893727443E-3</v>
      </c>
      <c r="W177" s="2"/>
      <c r="X177" s="7">
        <f t="shared" si="109"/>
        <v>3036.8199999999997</v>
      </c>
      <c r="Y177" s="2"/>
      <c r="Z177" s="8">
        <f t="shared" si="110"/>
        <v>1.1148712150136566</v>
      </c>
    </row>
    <row r="178" spans="1:26" s="24" customFormat="1" hidden="1" outlineLevel="2" x14ac:dyDescent="0.3">
      <c r="A178" s="27"/>
      <c r="B178" s="11" t="str">
        <f>CONCATENATE("          ", "6243", " - ", "PAPER SUPPLIES")</f>
        <v xml:space="preserve">          6243 - PAPER SUPPLIES</v>
      </c>
      <c r="C178" s="11"/>
      <c r="D178" s="7">
        <v>1801.68</v>
      </c>
      <c r="E178" s="2"/>
      <c r="F178" s="8">
        <f t="shared" si="103"/>
        <v>1.1909615347941026E-3</v>
      </c>
      <c r="G178" s="2"/>
      <c r="H178" s="7">
        <v>2044.69</v>
      </c>
      <c r="I178" s="2"/>
      <c r="J178" s="8">
        <f t="shared" si="104"/>
        <v>1.2802604358125012E-3</v>
      </c>
      <c r="K178" s="2"/>
      <c r="L178" s="7">
        <f t="shared" si="105"/>
        <v>-243.01</v>
      </c>
      <c r="M178" s="2"/>
      <c r="N178" s="8">
        <f t="shared" si="106"/>
        <v>-0.11884931212066376</v>
      </c>
      <c r="O178" s="11"/>
      <c r="P178" s="7">
        <v>3450.92</v>
      </c>
      <c r="Q178" s="2"/>
      <c r="R178" s="8">
        <f t="shared" si="107"/>
        <v>1.9909620918203042E-3</v>
      </c>
      <c r="S178" s="2"/>
      <c r="T178" s="7">
        <v>3124.69</v>
      </c>
      <c r="U178" s="2"/>
      <c r="V178" s="8">
        <f t="shared" si="108"/>
        <v>1.7123875101879352E-3</v>
      </c>
      <c r="W178" s="2"/>
      <c r="X178" s="7">
        <f t="shared" si="109"/>
        <v>326.23</v>
      </c>
      <c r="Y178" s="2"/>
      <c r="Z178" s="8">
        <f t="shared" si="110"/>
        <v>0.10440395687252176</v>
      </c>
    </row>
    <row r="179" spans="1:26" s="24" customFormat="1" hidden="1" outlineLevel="2" x14ac:dyDescent="0.3">
      <c r="A179" s="27"/>
      <c r="B179" s="11" t="str">
        <f>CONCATENATE("          ", "6245", " - ", "PRINTING")</f>
        <v xml:space="preserve">          6245 - PRINTING</v>
      </c>
      <c r="C179" s="11"/>
      <c r="D179" s="7">
        <v>-851.82</v>
      </c>
      <c r="E179" s="2"/>
      <c r="F179" s="8">
        <f t="shared" si="103"/>
        <v>-5.6307715830131459E-4</v>
      </c>
      <c r="G179" s="2"/>
      <c r="H179" s="7">
        <v>1248</v>
      </c>
      <c r="I179" s="2"/>
      <c r="J179" s="8">
        <f t="shared" si="104"/>
        <v>7.8142164528314877E-4</v>
      </c>
      <c r="K179" s="2"/>
      <c r="L179" s="7">
        <f t="shared" si="105"/>
        <v>-2099.8200000000002</v>
      </c>
      <c r="M179" s="2"/>
      <c r="N179" s="8">
        <f t="shared" si="106"/>
        <v>-1.682548076923077</v>
      </c>
      <c r="O179" s="11"/>
      <c r="P179" s="7">
        <v>-600.17999999999995</v>
      </c>
      <c r="Q179" s="2"/>
      <c r="R179" s="8">
        <f t="shared" si="107"/>
        <v>-3.4626581557054643E-4</v>
      </c>
      <c r="S179" s="2"/>
      <c r="T179" s="7">
        <v>-295.5</v>
      </c>
      <c r="U179" s="2"/>
      <c r="V179" s="8">
        <f t="shared" si="108"/>
        <v>-1.6193942735456471E-4</v>
      </c>
      <c r="W179" s="2"/>
      <c r="X179" s="7">
        <f t="shared" si="109"/>
        <v>-304.67999999999995</v>
      </c>
      <c r="Y179" s="2"/>
      <c r="Z179" s="8">
        <f t="shared" si="110"/>
        <v>1.0310659898477155</v>
      </c>
    </row>
    <row r="180" spans="1:26" s="24" customFormat="1" hidden="1" outlineLevel="2" x14ac:dyDescent="0.3">
      <c r="A180" s="27"/>
      <c r="B180" s="11" t="str">
        <f>CONCATENATE("          ", "6247", " - ", "STORE SUPPLIES")</f>
        <v xml:space="preserve">          6247 - STORE SUPPLIES</v>
      </c>
      <c r="C180" s="11"/>
      <c r="D180" s="7">
        <v>4978.83</v>
      </c>
      <c r="E180" s="2"/>
      <c r="F180" s="8">
        <f t="shared" si="103"/>
        <v>3.2911477167304527E-3</v>
      </c>
      <c r="G180" s="2"/>
      <c r="H180" s="7">
        <v>1810.04</v>
      </c>
      <c r="I180" s="2"/>
      <c r="J180" s="8">
        <f t="shared" si="104"/>
        <v>1.133336886881659E-3</v>
      </c>
      <c r="K180" s="2"/>
      <c r="L180" s="7">
        <f t="shared" si="105"/>
        <v>3168.79</v>
      </c>
      <c r="M180" s="2"/>
      <c r="N180" s="8">
        <f t="shared" si="106"/>
        <v>1.7506740182537404</v>
      </c>
      <c r="O180" s="11"/>
      <c r="P180" s="7">
        <v>8829.7099999999991</v>
      </c>
      <c r="Q180" s="2"/>
      <c r="R180" s="8">
        <f t="shared" si="107"/>
        <v>5.0941829691116157E-3</v>
      </c>
      <c r="S180" s="2"/>
      <c r="T180" s="7">
        <v>7211.63</v>
      </c>
      <c r="U180" s="2"/>
      <c r="V180" s="8">
        <f t="shared" si="108"/>
        <v>3.9521056937157342E-3</v>
      </c>
      <c r="W180" s="2"/>
      <c r="X180" s="7">
        <f t="shared" si="109"/>
        <v>1618.079999999999</v>
      </c>
      <c r="Y180" s="2"/>
      <c r="Z180" s="8">
        <f t="shared" si="110"/>
        <v>0.22437091198522371</v>
      </c>
    </row>
    <row r="181" spans="1:26" s="28" customFormat="1" outlineLevel="1" collapsed="1" x14ac:dyDescent="0.3">
      <c r="A181" s="29"/>
      <c r="B181" s="14" t="str">
        <f>CONCATENATE("     ","Telephone/Data Lines                              ")</f>
        <v xml:space="preserve">     Telephone/Data Lines                              </v>
      </c>
      <c r="C181" s="14"/>
      <c r="D181" s="1">
        <f>SUM(OSRRefD22_19x_0)</f>
        <v>2123.19</v>
      </c>
      <c r="E181" s="1"/>
      <c r="F181" s="5">
        <f t="shared" ref="F181:F183" si="111">IF(D$12=0,0,D181/D$12)</f>
        <v>1.4034887555278912E-3</v>
      </c>
      <c r="G181" s="1"/>
      <c r="H181" s="1">
        <f>SUM(OSRRefH22_19x_0)</f>
        <v>2097</v>
      </c>
      <c r="I181" s="1"/>
      <c r="J181" s="5">
        <f t="shared" ref="J181:J183" si="112">IF(H$12=0,0,H181/H$12)</f>
        <v>1.3130137741656754E-3</v>
      </c>
      <c r="K181" s="1"/>
      <c r="L181" s="1">
        <f t="shared" ref="L181:L183" si="113">+D181-H181</f>
        <v>26.190000000000055</v>
      </c>
      <c r="M181" s="1"/>
      <c r="N181" s="5">
        <f t="shared" ref="N181:N183" si="114">IF(H181=0,0,L181/H181)</f>
        <v>1.248927038626612E-2</v>
      </c>
      <c r="O181" s="14"/>
      <c r="P181" s="1">
        <f>SUM(OSRRefP22_19x_0)</f>
        <v>3691.63</v>
      </c>
      <c r="Q181" s="1"/>
      <c r="R181" s="5">
        <f t="shared" ref="R181:R183" si="115">IF(P$12=0,0,P181/P$12)</f>
        <v>2.1298365036067453E-3</v>
      </c>
      <c r="S181" s="1"/>
      <c r="T181" s="1">
        <f>SUM(OSRRefT22_19x_0)</f>
        <v>4470.25</v>
      </c>
      <c r="U181" s="1"/>
      <c r="V181" s="5">
        <f t="shared" ref="V181:V183" si="116">IF(T$12=0,0,T181/T$12)</f>
        <v>2.4497791036607207E-3</v>
      </c>
      <c r="W181" s="1"/>
      <c r="X181" s="1">
        <f t="shared" ref="X181:X183" si="117">+P181-T181</f>
        <v>-778.61999999999989</v>
      </c>
      <c r="Y181" s="1"/>
      <c r="Z181" s="5">
        <f t="shared" ref="Z181:Z183" si="118">IF(T181=0,0,X181/T181)</f>
        <v>-0.17417817795425308</v>
      </c>
    </row>
    <row r="182" spans="1:26" s="24" customFormat="1" hidden="1" outlineLevel="2" x14ac:dyDescent="0.3">
      <c r="A182" s="27"/>
      <c r="B182" s="11" t="str">
        <f>CONCATENATE("          ", "6303", " - ", "DATA PHONE LINES")</f>
        <v xml:space="preserve">          6303 - DATA PHONE LINES</v>
      </c>
      <c r="C182" s="11"/>
      <c r="D182" s="7"/>
      <c r="E182" s="2"/>
      <c r="F182" s="8">
        <f t="shared" si="111"/>
        <v>0</v>
      </c>
      <c r="G182" s="2"/>
      <c r="H182" s="7"/>
      <c r="I182" s="2"/>
      <c r="J182" s="8">
        <f t="shared" si="112"/>
        <v>0</v>
      </c>
      <c r="K182" s="2"/>
      <c r="L182" s="7">
        <f t="shared" si="113"/>
        <v>0</v>
      </c>
      <c r="M182" s="2"/>
      <c r="N182" s="8">
        <f t="shared" si="114"/>
        <v>0</v>
      </c>
      <c r="O182" s="11"/>
      <c r="P182" s="7">
        <v>295</v>
      </c>
      <c r="Q182" s="2"/>
      <c r="R182" s="8">
        <f t="shared" si="115"/>
        <v>1.7019630043205573E-4</v>
      </c>
      <c r="S182" s="2"/>
      <c r="T182" s="7">
        <v>295</v>
      </c>
      <c r="U182" s="2"/>
      <c r="V182" s="8">
        <f t="shared" si="116"/>
        <v>1.6166541817122366E-4</v>
      </c>
      <c r="W182" s="2"/>
      <c r="X182" s="7">
        <f t="shared" si="117"/>
        <v>0</v>
      </c>
      <c r="Y182" s="2"/>
      <c r="Z182" s="8">
        <f t="shared" si="118"/>
        <v>0</v>
      </c>
    </row>
    <row r="183" spans="1:26" s="24" customFormat="1" hidden="1" outlineLevel="2" x14ac:dyDescent="0.3">
      <c r="A183" s="27"/>
      <c r="B183" s="11" t="str">
        <f>CONCATENATE("          ", "6309", " - ", "TELEPHONE")</f>
        <v xml:space="preserve">          6309 - TELEPHONE</v>
      </c>
      <c r="C183" s="11"/>
      <c r="D183" s="7">
        <v>2123.19</v>
      </c>
      <c r="E183" s="2"/>
      <c r="F183" s="8">
        <f t="shared" si="111"/>
        <v>1.4034887555278912E-3</v>
      </c>
      <c r="G183" s="2"/>
      <c r="H183" s="7">
        <v>2097</v>
      </c>
      <c r="I183" s="2"/>
      <c r="J183" s="8">
        <f t="shared" si="112"/>
        <v>1.3130137741656754E-3</v>
      </c>
      <c r="K183" s="2"/>
      <c r="L183" s="7">
        <f t="shared" si="113"/>
        <v>26.190000000000055</v>
      </c>
      <c r="M183" s="2"/>
      <c r="N183" s="8">
        <f t="shared" si="114"/>
        <v>1.248927038626612E-2</v>
      </c>
      <c r="O183" s="11"/>
      <c r="P183" s="7">
        <v>3396.63</v>
      </c>
      <c r="Q183" s="2"/>
      <c r="R183" s="8">
        <f t="shared" si="115"/>
        <v>1.9596402031746897E-3</v>
      </c>
      <c r="S183" s="2"/>
      <c r="T183" s="7">
        <v>4175.25</v>
      </c>
      <c r="U183" s="2"/>
      <c r="V183" s="8">
        <f t="shared" si="116"/>
        <v>2.2881136854894968E-3</v>
      </c>
      <c r="W183" s="2"/>
      <c r="X183" s="7">
        <f t="shared" si="117"/>
        <v>-778.61999999999989</v>
      </c>
      <c r="Y183" s="2"/>
      <c r="Z183" s="8">
        <f t="shared" si="118"/>
        <v>-0.18648464163822523</v>
      </c>
    </row>
    <row r="184" spans="1:26" s="28" customFormat="1" outlineLevel="1" collapsed="1" x14ac:dyDescent="0.3">
      <c r="A184" s="29"/>
      <c r="B184" s="14" t="str">
        <f>CONCATENATE("     ","Training                                          ")</f>
        <v xml:space="preserve">     Training                                          </v>
      </c>
      <c r="C184" s="14"/>
      <c r="D184" s="1">
        <f>SUM(OSRRefD22_20x_0)</f>
        <v>0</v>
      </c>
      <c r="E184" s="1"/>
      <c r="F184" s="5">
        <f t="shared" ref="F184:F189" si="119">IF(D$12=0,0,D184/D$12)</f>
        <v>0</v>
      </c>
      <c r="G184" s="1"/>
      <c r="H184" s="1">
        <f>SUM(OSRRefH22_20x_0)</f>
        <v>0</v>
      </c>
      <c r="I184" s="1"/>
      <c r="J184" s="5">
        <f t="shared" ref="J184:J189" si="120">IF(H$12=0,0,H184/H$12)</f>
        <v>0</v>
      </c>
      <c r="K184" s="1"/>
      <c r="L184" s="1">
        <f t="shared" ref="L184:L189" si="121">+D184-H184</f>
        <v>0</v>
      </c>
      <c r="M184" s="1"/>
      <c r="N184" s="5">
        <f t="shared" ref="N184:N189" si="122">IF(H184=0,0,L184/H184)</f>
        <v>0</v>
      </c>
      <c r="O184" s="14"/>
      <c r="P184" s="1">
        <f>SUM(OSRRefP22_20x_0)</f>
        <v>0</v>
      </c>
      <c r="Q184" s="1"/>
      <c r="R184" s="5">
        <f t="shared" ref="R184:R189" si="123">IF(P$12=0,0,P184/P$12)</f>
        <v>0</v>
      </c>
      <c r="S184" s="1"/>
      <c r="T184" s="1">
        <f>SUM(OSRRefT22_20x_0)</f>
        <v>131.63</v>
      </c>
      <c r="U184" s="1"/>
      <c r="V184" s="5">
        <f t="shared" ref="V184:V189" si="124">IF(T$12=0,0,T184/T$12)</f>
        <v>7.2135657606366672E-5</v>
      </c>
      <c r="W184" s="1"/>
      <c r="X184" s="1">
        <f t="shared" ref="X184:X189" si="125">+P184-T184</f>
        <v>-131.63</v>
      </c>
      <c r="Y184" s="1"/>
      <c r="Z184" s="5">
        <f t="shared" ref="Z184:Z189" si="126">IF(T184=0,0,X184/T184)</f>
        <v>-1</v>
      </c>
    </row>
    <row r="185" spans="1:26" s="24" customFormat="1" hidden="1" outlineLevel="2" x14ac:dyDescent="0.3">
      <c r="A185" s="27"/>
      <c r="B185" s="11" t="str">
        <f>CONCATENATE("          ", "6376", " - ", "TRAINING")</f>
        <v xml:space="preserve">          6376 - TRAINING</v>
      </c>
      <c r="C185" s="11"/>
      <c r="D185" s="7"/>
      <c r="E185" s="2"/>
      <c r="F185" s="8">
        <f t="shared" si="119"/>
        <v>0</v>
      </c>
      <c r="G185" s="2"/>
      <c r="H185" s="7"/>
      <c r="I185" s="2"/>
      <c r="J185" s="8">
        <f t="shared" si="120"/>
        <v>0</v>
      </c>
      <c r="K185" s="2"/>
      <c r="L185" s="7">
        <f t="shared" si="121"/>
        <v>0</v>
      </c>
      <c r="M185" s="2"/>
      <c r="N185" s="8">
        <f t="shared" si="122"/>
        <v>0</v>
      </c>
      <c r="O185" s="11"/>
      <c r="P185" s="7"/>
      <c r="Q185" s="2"/>
      <c r="R185" s="8">
        <f t="shared" si="123"/>
        <v>0</v>
      </c>
      <c r="S185" s="2"/>
      <c r="T185" s="7">
        <v>131.63</v>
      </c>
      <c r="U185" s="2"/>
      <c r="V185" s="8">
        <f t="shared" si="124"/>
        <v>7.2135657606366672E-5</v>
      </c>
      <c r="W185" s="2"/>
      <c r="X185" s="7">
        <f t="shared" si="125"/>
        <v>-131.63</v>
      </c>
      <c r="Y185" s="2"/>
      <c r="Z185" s="8">
        <f t="shared" si="126"/>
        <v>-1</v>
      </c>
    </row>
    <row r="186" spans="1:26" s="28" customFormat="1" outlineLevel="1" collapsed="1" x14ac:dyDescent="0.3">
      <c r="A186" s="29"/>
      <c r="B186" s="14" t="str">
        <f>CONCATENATE("     ","Travel                                            ")</f>
        <v xml:space="preserve">     Travel                                            </v>
      </c>
      <c r="C186" s="14"/>
      <c r="D186" s="1">
        <f>SUM(OSRRefD22_21x_0)</f>
        <v>0</v>
      </c>
      <c r="E186" s="1"/>
      <c r="F186" s="5">
        <f t="shared" si="119"/>
        <v>0</v>
      </c>
      <c r="G186" s="1"/>
      <c r="H186" s="1">
        <f>SUM(OSRRefH22_21x_0)</f>
        <v>25.76</v>
      </c>
      <c r="I186" s="1"/>
      <c r="J186" s="5">
        <f t="shared" si="120"/>
        <v>1.6129344216741916E-5</v>
      </c>
      <c r="K186" s="1"/>
      <c r="L186" s="1">
        <f t="shared" si="121"/>
        <v>-25.76</v>
      </c>
      <c r="M186" s="1"/>
      <c r="N186" s="5">
        <f t="shared" si="122"/>
        <v>-1</v>
      </c>
      <c r="O186" s="14"/>
      <c r="P186" s="1">
        <f>SUM(OSRRefP22_21x_0)</f>
        <v>683.14</v>
      </c>
      <c r="Q186" s="1"/>
      <c r="R186" s="5">
        <f t="shared" si="123"/>
        <v>3.941284768717103E-4</v>
      </c>
      <c r="S186" s="1"/>
      <c r="T186" s="1">
        <f>SUM(OSRRefT22_21x_0)</f>
        <v>300.96999999999997</v>
      </c>
      <c r="U186" s="1"/>
      <c r="V186" s="5">
        <f t="shared" si="124"/>
        <v>1.6493708782031586E-4</v>
      </c>
      <c r="W186" s="1"/>
      <c r="X186" s="1">
        <f t="shared" si="125"/>
        <v>382.17</v>
      </c>
      <c r="Y186" s="1"/>
      <c r="Z186" s="5">
        <f t="shared" si="126"/>
        <v>1.269794331660963</v>
      </c>
    </row>
    <row r="187" spans="1:26" s="24" customFormat="1" hidden="1" outlineLevel="2" x14ac:dyDescent="0.3">
      <c r="A187" s="27"/>
      <c r="B187" s="11" t="str">
        <f>CONCATENATE("          ", "6292", " - ", "TRAVEL/CONFERENCE")</f>
        <v xml:space="preserve">          6292 - TRAVEL/CONFERENCE</v>
      </c>
      <c r="C187" s="11"/>
      <c r="D187" s="7"/>
      <c r="E187" s="2"/>
      <c r="F187" s="8">
        <f t="shared" si="119"/>
        <v>0</v>
      </c>
      <c r="G187" s="2"/>
      <c r="H187" s="7"/>
      <c r="I187" s="2"/>
      <c r="J187" s="8">
        <f t="shared" si="120"/>
        <v>0</v>
      </c>
      <c r="K187" s="2"/>
      <c r="L187" s="7">
        <f t="shared" si="121"/>
        <v>0</v>
      </c>
      <c r="M187" s="2"/>
      <c r="N187" s="8">
        <f t="shared" si="122"/>
        <v>0</v>
      </c>
      <c r="O187" s="11"/>
      <c r="P187" s="7">
        <v>495</v>
      </c>
      <c r="Q187" s="2"/>
      <c r="R187" s="8">
        <f t="shared" si="123"/>
        <v>2.8558362275887318E-4</v>
      </c>
      <c r="S187" s="2"/>
      <c r="T187" s="7">
        <v>0.16</v>
      </c>
      <c r="U187" s="2"/>
      <c r="V187" s="8">
        <f t="shared" si="124"/>
        <v>8.7682938669138259E-8</v>
      </c>
      <c r="W187" s="2"/>
      <c r="X187" s="7">
        <f t="shared" si="125"/>
        <v>494.84</v>
      </c>
      <c r="Y187" s="2"/>
      <c r="Z187" s="8">
        <f t="shared" si="126"/>
        <v>3092.75</v>
      </c>
    </row>
    <row r="188" spans="1:26" s="24" customFormat="1" hidden="1" outlineLevel="2" x14ac:dyDescent="0.3">
      <c r="A188" s="27"/>
      <c r="B188" s="11" t="str">
        <f>CONCATENATE("          ", "6294", " - ", "TRAVEL OPERATIONAL")</f>
        <v xml:space="preserve">          6294 - TRAVEL OPERATIONAL</v>
      </c>
      <c r="C188" s="11"/>
      <c r="D188" s="7"/>
      <c r="E188" s="2"/>
      <c r="F188" s="8">
        <f t="shared" si="119"/>
        <v>0</v>
      </c>
      <c r="G188" s="2"/>
      <c r="H188" s="7">
        <v>25.76</v>
      </c>
      <c r="I188" s="2"/>
      <c r="J188" s="8">
        <f t="shared" si="120"/>
        <v>1.6129344216741916E-5</v>
      </c>
      <c r="K188" s="2"/>
      <c r="L188" s="7">
        <f t="shared" si="121"/>
        <v>-25.76</v>
      </c>
      <c r="M188" s="2"/>
      <c r="N188" s="8">
        <f t="shared" si="122"/>
        <v>-1</v>
      </c>
      <c r="O188" s="11"/>
      <c r="P188" s="7">
        <v>188.14</v>
      </c>
      <c r="Q188" s="2"/>
      <c r="R188" s="8">
        <f t="shared" si="123"/>
        <v>1.0854485411283716E-4</v>
      </c>
      <c r="S188" s="2"/>
      <c r="T188" s="7">
        <v>240.92</v>
      </c>
      <c r="U188" s="2"/>
      <c r="V188" s="8">
        <f t="shared" si="124"/>
        <v>1.3202858490105493E-4</v>
      </c>
      <c r="W188" s="2"/>
      <c r="X188" s="7">
        <f t="shared" si="125"/>
        <v>-52.78</v>
      </c>
      <c r="Y188" s="2"/>
      <c r="Z188" s="8">
        <f t="shared" si="126"/>
        <v>-0.21907687199070233</v>
      </c>
    </row>
    <row r="189" spans="1:26" s="24" customFormat="1" hidden="1" outlineLevel="2" x14ac:dyDescent="0.3">
      <c r="A189" s="27"/>
      <c r="B189" s="11" t="str">
        <f>CONCATENATE("          ", "6298", " - ", "VEHICLE MILEAGE")</f>
        <v xml:space="preserve">          6298 - VEHICLE MILEAGE</v>
      </c>
      <c r="C189" s="11"/>
      <c r="D189" s="7"/>
      <c r="E189" s="2"/>
      <c r="F189" s="8">
        <f t="shared" si="119"/>
        <v>0</v>
      </c>
      <c r="G189" s="2"/>
      <c r="H189" s="7"/>
      <c r="I189" s="2"/>
      <c r="J189" s="8">
        <f t="shared" si="120"/>
        <v>0</v>
      </c>
      <c r="K189" s="2"/>
      <c r="L189" s="7">
        <f t="shared" si="121"/>
        <v>0</v>
      </c>
      <c r="M189" s="2"/>
      <c r="N189" s="8">
        <f t="shared" si="122"/>
        <v>0</v>
      </c>
      <c r="O189" s="11"/>
      <c r="P189" s="7"/>
      <c r="Q189" s="2"/>
      <c r="R189" s="8">
        <f t="shared" si="123"/>
        <v>0</v>
      </c>
      <c r="S189" s="2"/>
      <c r="T189" s="7">
        <v>59.89</v>
      </c>
      <c r="U189" s="2"/>
      <c r="V189" s="8">
        <f t="shared" si="124"/>
        <v>3.2820819980591816E-5</v>
      </c>
      <c r="W189" s="2"/>
      <c r="X189" s="7">
        <f t="shared" si="125"/>
        <v>-59.89</v>
      </c>
      <c r="Y189" s="2"/>
      <c r="Z189" s="8">
        <f t="shared" si="126"/>
        <v>-1</v>
      </c>
    </row>
    <row r="190" spans="1:26" s="28" customFormat="1" outlineLevel="1" collapsed="1" x14ac:dyDescent="0.3">
      <c r="A190" s="29"/>
      <c r="B190" s="14" t="str">
        <f>CONCATENATE("     ","Utilities                                         ")</f>
        <v xml:space="preserve">     Utilities                                         </v>
      </c>
      <c r="C190" s="14"/>
      <c r="D190" s="1">
        <f>SUM(OSRRefD22_22x_0)</f>
        <v>6037.29</v>
      </c>
      <c r="E190" s="1"/>
      <c r="F190" s="5">
        <f t="shared" ref="F190:F191" si="127">IF(D$12=0,0,D190/D$12)</f>
        <v>3.9908197706568799E-3</v>
      </c>
      <c r="G190" s="1"/>
      <c r="H190" s="1">
        <f>SUM(OSRRefH22_22x_0)</f>
        <v>6159.91</v>
      </c>
      <c r="I190" s="1"/>
      <c r="J190" s="5">
        <f t="shared" ref="J190:J191" si="128">IF(H$12=0,0,H190/H$12)</f>
        <v>3.8569607427853532E-3</v>
      </c>
      <c r="K190" s="1"/>
      <c r="L190" s="1">
        <f t="shared" ref="L190:L191" si="129">+D190-H190</f>
        <v>-122.61999999999989</v>
      </c>
      <c r="M190" s="1"/>
      <c r="N190" s="5">
        <f t="shared" ref="N190:N191" si="130">IF(H190=0,0,L190/H190)</f>
        <v>-1.9906134992232011E-2</v>
      </c>
      <c r="O190" s="14"/>
      <c r="P190" s="1">
        <f>SUM(OSRRefP22_22x_0)</f>
        <v>12073.78</v>
      </c>
      <c r="Q190" s="1"/>
      <c r="R190" s="5">
        <f t="shared" ref="R190:R191" si="131">IF(P$12=0,0,P190/P$12)</f>
        <v>6.9658057228154093E-3</v>
      </c>
      <c r="S190" s="1"/>
      <c r="T190" s="1">
        <f>SUM(OSRRefT22_22x_0)</f>
        <v>12321.37</v>
      </c>
      <c r="U190" s="1"/>
      <c r="V190" s="5">
        <f t="shared" ref="V190:V191" si="132">IF(T$12=0,0,T190/T$12)</f>
        <v>6.7523370626860011E-3</v>
      </c>
      <c r="W190" s="1"/>
      <c r="X190" s="1">
        <f t="shared" ref="X190:X191" si="133">+P190-T190</f>
        <v>-247.59000000000015</v>
      </c>
      <c r="Y190" s="1"/>
      <c r="Z190" s="5">
        <f t="shared" ref="Z190:Z191" si="134">IF(T190=0,0,X190/T190)</f>
        <v>-2.0094356390563721E-2</v>
      </c>
    </row>
    <row r="191" spans="1:26" s="24" customFormat="1" hidden="1" outlineLevel="2" x14ac:dyDescent="0.3">
      <c r="A191" s="27"/>
      <c r="B191" s="11" t="str">
        <f>CONCATENATE("          ", "6274", " - ", "UTILITIES")</f>
        <v xml:space="preserve">          6274 - UTILITIES</v>
      </c>
      <c r="C191" s="11"/>
      <c r="D191" s="7">
        <v>6037.29</v>
      </c>
      <c r="E191" s="2"/>
      <c r="F191" s="8">
        <f t="shared" si="127"/>
        <v>3.9908197706568799E-3</v>
      </c>
      <c r="G191" s="2"/>
      <c r="H191" s="7">
        <v>6159.91</v>
      </c>
      <c r="I191" s="2"/>
      <c r="J191" s="8">
        <f t="shared" si="128"/>
        <v>3.8569607427853532E-3</v>
      </c>
      <c r="K191" s="2"/>
      <c r="L191" s="7">
        <f t="shared" si="129"/>
        <v>-122.61999999999989</v>
      </c>
      <c r="M191" s="2"/>
      <c r="N191" s="8">
        <f t="shared" si="130"/>
        <v>-1.9906134992232011E-2</v>
      </c>
      <c r="O191" s="11"/>
      <c r="P191" s="7">
        <v>12073.78</v>
      </c>
      <c r="Q191" s="2"/>
      <c r="R191" s="8">
        <f t="shared" si="131"/>
        <v>6.9658057228154093E-3</v>
      </c>
      <c r="S191" s="2"/>
      <c r="T191" s="7">
        <v>12321.37</v>
      </c>
      <c r="U191" s="2"/>
      <c r="V191" s="8">
        <f t="shared" si="132"/>
        <v>6.7523370626860011E-3</v>
      </c>
      <c r="W191" s="2"/>
      <c r="X191" s="7">
        <f t="shared" si="133"/>
        <v>-247.59000000000015</v>
      </c>
      <c r="Y191" s="2"/>
      <c r="Z191" s="8">
        <f t="shared" si="134"/>
        <v>-2.0094356390563721E-2</v>
      </c>
    </row>
    <row r="192" spans="1:26" s="61" customFormat="1" x14ac:dyDescent="0.3">
      <c r="A192" s="37"/>
      <c r="B192" s="37"/>
      <c r="C192" s="37"/>
      <c r="D192" s="1"/>
      <c r="E192" s="1"/>
      <c r="F192" s="5"/>
      <c r="G192" s="1"/>
      <c r="H192" s="1"/>
      <c r="I192" s="1"/>
      <c r="J192" s="5"/>
      <c r="K192" s="1"/>
      <c r="L192" s="1"/>
      <c r="M192" s="1"/>
      <c r="N192" s="5"/>
      <c r="O192" s="37"/>
      <c r="P192" s="1"/>
      <c r="Q192" s="1"/>
      <c r="R192" s="5"/>
      <c r="S192" s="1"/>
      <c r="T192" s="1"/>
      <c r="U192" s="1"/>
      <c r="V192" s="5"/>
      <c r="W192" s="1"/>
      <c r="X192" s="1"/>
      <c r="Y192" s="1"/>
      <c r="Z192" s="5"/>
    </row>
    <row r="193" spans="1:26" s="23" customFormat="1" collapsed="1" x14ac:dyDescent="0.3">
      <c r="A193" s="10"/>
      <c r="B193" s="26" t="s">
        <v>292</v>
      </c>
      <c r="C193" s="10"/>
      <c r="D193" s="4">
        <f>SUM(OSRRefD25x_0)</f>
        <v>144356.09</v>
      </c>
      <c r="E193" s="4"/>
      <c r="F193" s="12">
        <f t="shared" ref="F193:F197" si="135">IF(D$12=0,0,D193/D$12)</f>
        <v>9.5423466155630077E-2</v>
      </c>
      <c r="G193" s="4"/>
      <c r="H193" s="4">
        <f>SUM(OSRRefH25x_0)</f>
        <v>56868.1</v>
      </c>
      <c r="I193" s="4"/>
      <c r="J193" s="12">
        <f t="shared" ref="J193:J197" si="136">IF(H$12=0,0,H193/H$12)</f>
        <v>3.5607343161960438E-2</v>
      </c>
      <c r="K193" s="4"/>
      <c r="L193" s="4">
        <f t="shared" ref="L193:L197" si="137">+D193-H193</f>
        <v>87487.989999999991</v>
      </c>
      <c r="M193" s="4"/>
      <c r="N193" s="12">
        <f t="shared" ref="N193:N197" si="138">IF(H193=0,0,L193/H193)</f>
        <v>1.538437014776298</v>
      </c>
      <c r="O193" s="10"/>
      <c r="P193" s="4">
        <f>SUM(OSRRefP25x_0)</f>
        <v>183996.94</v>
      </c>
      <c r="Q193" s="4"/>
      <c r="R193" s="12">
        <f t="shared" ref="R193:R197" si="139">IF(P$12=0,0,P193/P$12)</f>
        <v>0.10615457111464044</v>
      </c>
      <c r="S193" s="4"/>
      <c r="T193" s="4">
        <f>SUM(OSRRefT25x_0)</f>
        <v>254740.65</v>
      </c>
      <c r="U193" s="4"/>
      <c r="V193" s="12">
        <f t="shared" ref="V193:V197" si="140">IF(T$12=0,0,T193/T$12)</f>
        <v>0.13960255494054008</v>
      </c>
      <c r="W193" s="4"/>
      <c r="X193" s="4">
        <f t="shared" ref="X193:X197" si="141">+P193-T193</f>
        <v>-70743.709999999992</v>
      </c>
      <c r="Y193" s="4"/>
      <c r="Z193" s="12">
        <f t="shared" ref="Z193:Z197" si="142">IF(T193=0,0,X193/T193)</f>
        <v>-0.27770875987008747</v>
      </c>
    </row>
    <row r="194" spans="1:26" s="24" customFormat="1" hidden="1" outlineLevel="1" x14ac:dyDescent="0.3">
      <c r="A194" s="44"/>
      <c r="B194" s="11" t="str">
        <f>CONCATENATE("          ", "9150", " - ", "MISC. INCOME")</f>
        <v xml:space="preserve">          9150 - MISC. INCOME</v>
      </c>
      <c r="C194" s="11"/>
      <c r="D194" s="2">
        <f>--74872.62</f>
        <v>74872.62</v>
      </c>
      <c r="E194" s="2"/>
      <c r="F194" s="19">
        <f t="shared" si="135"/>
        <v>4.9492923509866137E-2</v>
      </c>
      <c r="G194" s="2"/>
      <c r="H194" s="2">
        <f>--56796.1</f>
        <v>56796.1</v>
      </c>
      <c r="I194" s="2"/>
      <c r="J194" s="19">
        <f t="shared" si="136"/>
        <v>3.5562261143963339E-2</v>
      </c>
      <c r="K194" s="2"/>
      <c r="L194" s="2">
        <f t="shared" si="137"/>
        <v>18076.519999999997</v>
      </c>
      <c r="M194" s="2"/>
      <c r="N194" s="19">
        <f t="shared" si="138"/>
        <v>0.31827044462559922</v>
      </c>
      <c r="O194" s="11"/>
      <c r="P194" s="2">
        <f>--108117.61</f>
        <v>108117.61</v>
      </c>
      <c r="Q194" s="2"/>
      <c r="R194" s="19">
        <f t="shared" si="139"/>
        <v>6.2377007571375702E-2</v>
      </c>
      <c r="S194" s="2"/>
      <c r="T194" s="2">
        <f>--92530.36</f>
        <v>92530.36</v>
      </c>
      <c r="U194" s="2"/>
      <c r="V194" s="19">
        <f t="shared" si="140"/>
        <v>5.0708336755708024E-2</v>
      </c>
      <c r="W194" s="2"/>
      <c r="X194" s="2">
        <f t="shared" si="141"/>
        <v>15587.25</v>
      </c>
      <c r="Y194" s="2"/>
      <c r="Z194" s="19">
        <f t="shared" si="142"/>
        <v>0.16845552097711497</v>
      </c>
    </row>
    <row r="195" spans="1:26" s="24" customFormat="1" hidden="1" outlineLevel="1" x14ac:dyDescent="0.3">
      <c r="A195" s="44"/>
      <c r="B195" s="11" t="str">
        <f>CONCATENATE("          ", "9151", " - ", "MISC. INCOME")</f>
        <v xml:space="preserve">          9151 - MISC. INCOME</v>
      </c>
      <c r="C195" s="11"/>
      <c r="D195" s="2">
        <f>--11556.36</f>
        <v>11556.36</v>
      </c>
      <c r="E195" s="2"/>
      <c r="F195" s="19">
        <f t="shared" si="135"/>
        <v>7.6390814363445098E-3</v>
      </c>
      <c r="G195" s="2"/>
      <c r="H195" s="2">
        <f>0</f>
        <v>0</v>
      </c>
      <c r="I195" s="2"/>
      <c r="J195" s="19">
        <f t="shared" si="136"/>
        <v>0</v>
      </c>
      <c r="K195" s="2"/>
      <c r="L195" s="2">
        <f t="shared" si="137"/>
        <v>11556.36</v>
      </c>
      <c r="M195" s="2"/>
      <c r="N195" s="19">
        <f t="shared" si="138"/>
        <v>0</v>
      </c>
      <c r="O195" s="11"/>
      <c r="P195" s="2">
        <f>--11556.36</f>
        <v>11556.36</v>
      </c>
      <c r="Q195" s="2"/>
      <c r="R195" s="19">
        <f t="shared" si="139"/>
        <v>6.6672871812237001E-3</v>
      </c>
      <c r="S195" s="2"/>
      <c r="T195" s="2">
        <f>0</f>
        <v>0</v>
      </c>
      <c r="U195" s="2"/>
      <c r="V195" s="19">
        <f t="shared" si="140"/>
        <v>0</v>
      </c>
      <c r="W195" s="2"/>
      <c r="X195" s="2">
        <f t="shared" si="141"/>
        <v>11556.36</v>
      </c>
      <c r="Y195" s="2"/>
      <c r="Z195" s="19">
        <f t="shared" si="142"/>
        <v>0</v>
      </c>
    </row>
    <row r="196" spans="1:26" s="24" customFormat="1" hidden="1" outlineLevel="1" x14ac:dyDescent="0.3">
      <c r="A196" s="44"/>
      <c r="B196" s="11" t="str">
        <f>CONCATENATE("          ", "9152", " - ", "MISC. INCOME")</f>
        <v xml:space="preserve">          9152 - MISC. INCOME</v>
      </c>
      <c r="C196" s="11"/>
      <c r="D196" s="2">
        <f>--936.11</f>
        <v>936.11</v>
      </c>
      <c r="E196" s="2"/>
      <c r="F196" s="19">
        <f t="shared" si="135"/>
        <v>6.1879523685455095E-4</v>
      </c>
      <c r="G196" s="2"/>
      <c r="H196" s="2">
        <f>--72</f>
        <v>72</v>
      </c>
      <c r="I196" s="2"/>
      <c r="J196" s="19">
        <f t="shared" si="136"/>
        <v>4.5082017997104735E-5</v>
      </c>
      <c r="K196" s="2"/>
      <c r="L196" s="2">
        <f t="shared" si="137"/>
        <v>864.11</v>
      </c>
      <c r="M196" s="2"/>
      <c r="N196" s="19">
        <f t="shared" si="138"/>
        <v>12.001527777777778</v>
      </c>
      <c r="O196" s="11"/>
      <c r="P196" s="2">
        <f>--1003.03</f>
        <v>1003.03</v>
      </c>
      <c r="Q196" s="2"/>
      <c r="R196" s="19">
        <f t="shared" si="139"/>
        <v>5.786847295673385E-4</v>
      </c>
      <c r="S196" s="2"/>
      <c r="T196" s="2">
        <f>--1546.39</f>
        <v>1546.39</v>
      </c>
      <c r="U196" s="2"/>
      <c r="V196" s="19">
        <f t="shared" si="140"/>
        <v>8.4745012205355446E-4</v>
      </c>
      <c r="W196" s="2"/>
      <c r="X196" s="2">
        <f t="shared" si="141"/>
        <v>-543.36000000000013</v>
      </c>
      <c r="Y196" s="2"/>
      <c r="Z196" s="19">
        <f t="shared" si="142"/>
        <v>-0.35137319822295804</v>
      </c>
    </row>
    <row r="197" spans="1:26" s="24" customFormat="1" hidden="1" outlineLevel="1" x14ac:dyDescent="0.3">
      <c r="A197" s="44"/>
      <c r="B197" s="11" t="str">
        <f>CONCATENATE("          ", "9163", " - ", "MISC. INCOME")</f>
        <v xml:space="preserve">          9163 - MISC. INCOME</v>
      </c>
      <c r="C197" s="11"/>
      <c r="D197" s="2">
        <f>--56991</f>
        <v>56991</v>
      </c>
      <c r="E197" s="2"/>
      <c r="F197" s="19">
        <f t="shared" si="135"/>
        <v>3.7672665972564884E-2</v>
      </c>
      <c r="G197" s="2"/>
      <c r="H197" s="2">
        <f>0</f>
        <v>0</v>
      </c>
      <c r="I197" s="2"/>
      <c r="J197" s="19">
        <f t="shared" si="136"/>
        <v>0</v>
      </c>
      <c r="K197" s="2"/>
      <c r="L197" s="2">
        <f t="shared" si="137"/>
        <v>56991</v>
      </c>
      <c r="M197" s="2"/>
      <c r="N197" s="19">
        <f t="shared" si="138"/>
        <v>0</v>
      </c>
      <c r="O197" s="11"/>
      <c r="P197" s="2">
        <f>--63319.94</f>
        <v>63319.94</v>
      </c>
      <c r="Q197" s="2"/>
      <c r="R197" s="19">
        <f t="shared" si="139"/>
        <v>3.6531591632473701E-2</v>
      </c>
      <c r="S197" s="2"/>
      <c r="T197" s="2">
        <f>--160663.9</f>
        <v>160663.9</v>
      </c>
      <c r="U197" s="2"/>
      <c r="V197" s="19">
        <f t="shared" si="140"/>
        <v>8.8046768062778516E-2</v>
      </c>
      <c r="W197" s="2"/>
      <c r="X197" s="2">
        <f t="shared" si="141"/>
        <v>-97343.959999999992</v>
      </c>
      <c r="Y197" s="2"/>
      <c r="Z197" s="19">
        <f t="shared" si="142"/>
        <v>-0.60588570301106837</v>
      </c>
    </row>
    <row r="198" spans="1:26" x14ac:dyDescent="0.3">
      <c r="A198" s="9"/>
      <c r="B198" s="10"/>
      <c r="C198" s="10"/>
      <c r="D198" s="3"/>
      <c r="E198" s="3"/>
      <c r="F198" s="6"/>
      <c r="G198" s="3"/>
      <c r="H198" s="3"/>
      <c r="I198" s="3"/>
      <c r="J198" s="6"/>
      <c r="K198" s="3"/>
      <c r="L198" s="3"/>
      <c r="M198" s="3"/>
      <c r="N198" s="6"/>
      <c r="O198" s="10"/>
      <c r="P198" s="3"/>
      <c r="Q198" s="3"/>
      <c r="R198" s="6"/>
      <c r="S198" s="3"/>
      <c r="T198" s="3"/>
      <c r="U198" s="3"/>
      <c r="V198" s="6"/>
      <c r="W198" s="3"/>
      <c r="X198" s="3"/>
      <c r="Y198" s="3"/>
      <c r="Z198" s="6"/>
    </row>
    <row r="199" spans="1:26" s="23" customFormat="1" x14ac:dyDescent="0.3">
      <c r="A199" s="10"/>
      <c r="B199" s="25" t="s">
        <v>276</v>
      </c>
      <c r="C199" s="25"/>
      <c r="D199" s="20">
        <f>+D107-D109+D193</f>
        <v>324850.06999999983</v>
      </c>
      <c r="E199" s="13"/>
      <c r="F199" s="22">
        <f>IF(D$12=0,0,D199/D$12)</f>
        <v>0.21473510165244186</v>
      </c>
      <c r="G199" s="13"/>
      <c r="H199" s="20">
        <f>+H107-H109+H193</f>
        <v>348646.25</v>
      </c>
      <c r="I199" s="13"/>
      <c r="J199" s="22">
        <f>IF(H$12=0,0,H199/H$12)</f>
        <v>0.21830106273782052</v>
      </c>
      <c r="K199" s="15"/>
      <c r="L199" s="20">
        <f>+D199-H199</f>
        <v>-23796.180000000168</v>
      </c>
      <c r="M199" s="15"/>
      <c r="N199" s="22">
        <f>IF(H199=0,0,L199/H199)</f>
        <v>-6.8253078872926837E-2</v>
      </c>
      <c r="O199" s="26"/>
      <c r="P199" s="20">
        <f>+P107-P109+P193</f>
        <v>94137.369999999937</v>
      </c>
      <c r="Q199" s="13"/>
      <c r="R199" s="22">
        <f>IF(P$12=0,0,P199/P$12)</f>
        <v>5.4311295275944332E-2</v>
      </c>
      <c r="S199" s="13"/>
      <c r="T199" s="20">
        <f>+T107-T109+T193</f>
        <v>314189.98</v>
      </c>
      <c r="U199" s="13"/>
      <c r="V199" s="22">
        <f>IF(T$12=0,0,T199/T$12)</f>
        <v>0.17218187966748608</v>
      </c>
      <c r="W199" s="15"/>
      <c r="X199" s="20">
        <f>+P199-T199</f>
        <v>-220052.61000000004</v>
      </c>
      <c r="Y199" s="15"/>
      <c r="Z199" s="22">
        <f>IF(T199=0,0,X199/T199)</f>
        <v>-0.70038073779437537</v>
      </c>
    </row>
    <row r="200" spans="1:26" x14ac:dyDescent="0.3">
      <c r="A200" s="9"/>
      <c r="B200" s="10"/>
      <c r="C200" s="9"/>
      <c r="D200" s="3"/>
      <c r="E200" s="3"/>
      <c r="F200" s="6"/>
      <c r="G200" s="3"/>
      <c r="H200" s="3"/>
      <c r="I200" s="3"/>
      <c r="J200" s="6"/>
      <c r="K200" s="3"/>
      <c r="L200" s="3"/>
      <c r="M200" s="3"/>
      <c r="N200" s="6"/>
      <c r="P200" s="3"/>
      <c r="Q200" s="3"/>
      <c r="R200" s="6"/>
      <c r="S200" s="3"/>
      <c r="T200" s="3"/>
      <c r="U200" s="3"/>
      <c r="V200" s="6"/>
      <c r="W200" s="3"/>
      <c r="X200" s="3"/>
      <c r="Y200" s="3"/>
      <c r="Z200" s="6"/>
    </row>
    <row r="201" spans="1:26" s="23" customFormat="1" x14ac:dyDescent="0.3">
      <c r="A201" s="51"/>
      <c r="B201" s="10" t="s">
        <v>127</v>
      </c>
      <c r="C201" s="10"/>
      <c r="D201" s="4">
        <v>157141.93</v>
      </c>
      <c r="E201" s="4"/>
      <c r="F201" s="12">
        <f>IF(D$12=0,0,D201/D$12)</f>
        <v>0.10387526871215057</v>
      </c>
      <c r="G201" s="4"/>
      <c r="H201" s="4">
        <v>193432.62</v>
      </c>
      <c r="I201" s="4"/>
      <c r="J201" s="12">
        <f>IF(H$12=0,0,H201/H$12)</f>
        <v>0.12111573411204335</v>
      </c>
      <c r="K201" s="4"/>
      <c r="L201" s="4">
        <f>+D201-H201</f>
        <v>-36290.69</v>
      </c>
      <c r="M201" s="4"/>
      <c r="N201" s="12">
        <f>IF(H201=0,0,L201/H201)</f>
        <v>-0.18761411596451522</v>
      </c>
      <c r="O201" s="10"/>
      <c r="P201" s="4">
        <v>259011.20000000001</v>
      </c>
      <c r="Q201" s="4"/>
      <c r="R201" s="12">
        <f>IF(P$12=0,0,P201/P$12)</f>
        <v>0.1494330441032789</v>
      </c>
      <c r="S201" s="4"/>
      <c r="T201" s="4">
        <v>308085.87</v>
      </c>
      <c r="U201" s="4"/>
      <c r="V201" s="12">
        <f>IF(T$12=0,0,T201/T$12)</f>
        <v>0.16883671527523814</v>
      </c>
      <c r="W201" s="4"/>
      <c r="X201" s="4">
        <f>+P201-T201</f>
        <v>-49074.669999999984</v>
      </c>
      <c r="Y201" s="4"/>
      <c r="Z201" s="12">
        <f>IF(T201=0,0,X201/T201)</f>
        <v>-0.15928893460774421</v>
      </c>
    </row>
    <row r="202" spans="1:26" x14ac:dyDescent="0.3">
      <c r="A202" s="9"/>
      <c r="B202" s="10"/>
      <c r="C202" s="10"/>
      <c r="D202" s="3"/>
      <c r="E202" s="3"/>
      <c r="F202" s="6"/>
      <c r="G202" s="3"/>
      <c r="H202" s="3"/>
      <c r="I202" s="3"/>
      <c r="J202" s="6"/>
      <c r="K202" s="3"/>
      <c r="L202" s="3"/>
      <c r="M202" s="3"/>
      <c r="N202" s="6"/>
      <c r="O202" s="10"/>
      <c r="P202" s="3"/>
      <c r="Q202" s="3"/>
      <c r="R202" s="6"/>
      <c r="S202" s="3"/>
      <c r="T202" s="3"/>
      <c r="U202" s="3"/>
      <c r="V202" s="6"/>
      <c r="W202" s="3"/>
      <c r="X202" s="3"/>
      <c r="Y202" s="3"/>
      <c r="Z202" s="6"/>
    </row>
    <row r="203" spans="1:26" s="23" customFormat="1" ht="15" thickBot="1" x14ac:dyDescent="0.35">
      <c r="A203" s="10"/>
      <c r="B203" s="25" t="s">
        <v>125</v>
      </c>
      <c r="C203" s="25"/>
      <c r="D203" s="33">
        <f>+D199-D201</f>
        <v>167708.13999999984</v>
      </c>
      <c r="E203" s="13"/>
      <c r="F203" s="36">
        <f>IF(D$12=0,0,D203/D$12)</f>
        <v>0.11085983294029131</v>
      </c>
      <c r="G203" s="13"/>
      <c r="H203" s="33">
        <f>+H199-H201</f>
        <v>155213.63</v>
      </c>
      <c r="I203" s="13"/>
      <c r="J203" s="36">
        <f>IF(H$12=0,0,H203/H$12)</f>
        <v>9.7185328625777168E-2</v>
      </c>
      <c r="K203" s="15"/>
      <c r="L203" s="33">
        <f>D203-H203</f>
        <v>12494.509999999835</v>
      </c>
      <c r="M203" s="15"/>
      <c r="N203" s="36">
        <f>IF(H203=0,0,L203/H203)</f>
        <v>8.0498793823711445E-2</v>
      </c>
      <c r="O203" s="26"/>
      <c r="P203" s="33">
        <f>+P199-P201</f>
        <v>-164873.83000000007</v>
      </c>
      <c r="Q203" s="13"/>
      <c r="R203" s="36">
        <f>IF(P$12=0,0,P203/P$12)</f>
        <v>-9.5121748827334554E-2</v>
      </c>
      <c r="S203" s="13"/>
      <c r="T203" s="33">
        <f>+T199-T201</f>
        <v>6104.109999999986</v>
      </c>
      <c r="U203" s="13"/>
      <c r="V203" s="36">
        <f>IF(T$12=0,0,T203/T$12)</f>
        <v>3.3451643922479519E-3</v>
      </c>
      <c r="W203" s="15"/>
      <c r="X203" s="33">
        <f>P203-T203</f>
        <v>-170977.94000000006</v>
      </c>
      <c r="Y203" s="15"/>
      <c r="Z203" s="36">
        <f>IF(T203=0,0,X203/T203)</f>
        <v>-28.010297979558111</v>
      </c>
    </row>
    <row r="204" spans="1:26" ht="15" thickTop="1" x14ac:dyDescent="0.3">
      <c r="A204" s="9"/>
      <c r="B204" s="9"/>
      <c r="C204" s="9"/>
      <c r="D204" s="3"/>
      <c r="E204" s="3"/>
      <c r="F204" s="6"/>
      <c r="G204" s="3"/>
      <c r="H204" s="3"/>
      <c r="I204" s="3"/>
      <c r="J204" s="6"/>
      <c r="K204" s="3"/>
      <c r="L204" s="3"/>
      <c r="M204" s="3"/>
      <c r="N204" s="6"/>
      <c r="P204" s="3"/>
      <c r="Q204" s="3"/>
      <c r="R204" s="6"/>
      <c r="S204" s="3"/>
      <c r="T204" s="3"/>
      <c r="U204" s="3"/>
      <c r="V204" s="6"/>
      <c r="W204" s="3"/>
      <c r="X204" s="3"/>
      <c r="Y204" s="3"/>
      <c r="Z204" s="6"/>
    </row>
    <row r="205" spans="1:26" x14ac:dyDescent="0.3">
      <c r="A205" s="9"/>
      <c r="B205" s="9"/>
      <c r="C205" s="9"/>
      <c r="D205" s="3"/>
      <c r="E205" s="3"/>
      <c r="F205" s="6"/>
      <c r="G205" s="3"/>
      <c r="H205" s="3"/>
      <c r="I205" s="3"/>
      <c r="J205" s="6"/>
      <c r="K205" s="3"/>
      <c r="L205" s="3"/>
      <c r="M205" s="3"/>
      <c r="N205" s="6"/>
      <c r="P205" s="3"/>
      <c r="Q205" s="3"/>
      <c r="R205" s="6"/>
      <c r="S205" s="3"/>
      <c r="T205" s="3"/>
      <c r="U205" s="3"/>
      <c r="V205" s="6"/>
      <c r="W205" s="3"/>
      <c r="X205" s="3"/>
      <c r="Y205" s="3"/>
      <c r="Z205" s="6"/>
    </row>
    <row r="206" spans="1:26" s="23" customFormat="1" ht="15" thickBot="1" x14ac:dyDescent="0.35">
      <c r="A206" s="10"/>
      <c r="B206" s="25" t="s">
        <v>293</v>
      </c>
      <c r="C206" s="25"/>
      <c r="D206" s="30">
        <f>SUM(D203:D205)</f>
        <v>167708.13999999984</v>
      </c>
      <c r="E206" s="13"/>
      <c r="F206" s="31">
        <f>IF(D$12=0,0,D206/D$12)</f>
        <v>0.11085983294029131</v>
      </c>
      <c r="G206" s="13"/>
      <c r="H206" s="30">
        <f>SUM(H203:H205)</f>
        <v>155213.63</v>
      </c>
      <c r="I206" s="13"/>
      <c r="J206" s="31">
        <f>IF(H$12=0,0,H206/H$12)</f>
        <v>9.7185328625777168E-2</v>
      </c>
      <c r="K206" s="15"/>
      <c r="L206" s="30">
        <f>+D206-H206</f>
        <v>12494.509999999835</v>
      </c>
      <c r="M206" s="15"/>
      <c r="N206" s="31">
        <f>IF(H206=0,0,L206/H206)</f>
        <v>8.0498793823711445E-2</v>
      </c>
      <c r="O206" s="26"/>
      <c r="P206" s="30">
        <f>SUM(P203:P205)</f>
        <v>-164873.83000000007</v>
      </c>
      <c r="Q206" s="13"/>
      <c r="R206" s="31">
        <f>IF(P$12=0,0,P206/P$12)</f>
        <v>-9.5121748827334554E-2</v>
      </c>
      <c r="S206" s="13"/>
      <c r="T206" s="30">
        <f>SUM(T203:T205)</f>
        <v>6104.109999999986</v>
      </c>
      <c r="U206" s="13"/>
      <c r="V206" s="31">
        <f>IF(T$12=0,0,T206/T$12)</f>
        <v>3.3451643922479519E-3</v>
      </c>
      <c r="W206" s="15"/>
      <c r="X206" s="30">
        <f>+P206-T206</f>
        <v>-170977.94000000006</v>
      </c>
      <c r="Y206" s="15"/>
      <c r="Z206" s="31">
        <f>IF(T206=0,0,X206/T206)</f>
        <v>-28.010297979558111</v>
      </c>
    </row>
    <row r="207" spans="1:26" ht="15" thickTop="1" x14ac:dyDescent="0.3">
      <c r="A207" s="9"/>
      <c r="C207" s="9"/>
      <c r="D207" s="17"/>
      <c r="E207" s="17"/>
      <c r="G207" s="17"/>
      <c r="H207" s="17"/>
      <c r="I207" s="17"/>
      <c r="J207" s="43"/>
      <c r="K207" s="17"/>
      <c r="L207" s="17"/>
      <c r="M207" s="17"/>
      <c r="P207" s="17"/>
      <c r="Q207" s="17"/>
      <c r="R207" s="43"/>
      <c r="S207" s="17"/>
      <c r="T207" s="17"/>
      <c r="U207" s="17"/>
      <c r="V207" s="43"/>
      <c r="W207" s="17"/>
      <c r="X207" s="17"/>
    </row>
    <row r="208" spans="1:26" x14ac:dyDescent="0.3">
      <c r="A208" s="9"/>
      <c r="B208" s="59">
        <v>44470.840478854167</v>
      </c>
      <c r="D208" s="17"/>
      <c r="E208" s="17"/>
      <c r="G208" s="17"/>
      <c r="H208" s="17"/>
      <c r="I208" s="17"/>
      <c r="J208" s="43"/>
      <c r="K208" s="17"/>
      <c r="L208" s="17"/>
      <c r="M208" s="17"/>
      <c r="P208" s="17"/>
      <c r="Q208" s="17"/>
      <c r="R208" s="43"/>
      <c r="S208" s="17"/>
      <c r="T208" s="17"/>
      <c r="U208" s="17"/>
      <c r="V208" s="43"/>
      <c r="W208" s="17"/>
      <c r="X208" s="17"/>
    </row>
    <row r="209" spans="1:24" x14ac:dyDescent="0.3">
      <c r="A209" s="9"/>
      <c r="B209" s="58" t="s">
        <v>56</v>
      </c>
      <c r="D209" s="17"/>
      <c r="E209" s="17"/>
      <c r="G209" s="17"/>
      <c r="H209" s="17"/>
      <c r="I209" s="17"/>
      <c r="J209" s="43"/>
      <c r="K209" s="17"/>
      <c r="L209" s="17"/>
      <c r="M209" s="17"/>
      <c r="P209" s="17"/>
      <c r="Q209" s="17"/>
      <c r="R209" s="43"/>
      <c r="S209" s="17"/>
      <c r="T209" s="17"/>
      <c r="U209" s="17"/>
      <c r="V209" s="43"/>
      <c r="W209" s="17"/>
      <c r="X209" s="17"/>
    </row>
    <row r="210" spans="1:24" x14ac:dyDescent="0.3">
      <c r="A210" s="9"/>
      <c r="B210" s="52"/>
      <c r="D210" s="17"/>
      <c r="E210" s="17"/>
      <c r="G210" s="17"/>
      <c r="H210" s="17"/>
      <c r="I210" s="17"/>
      <c r="J210" s="43"/>
      <c r="K210" s="17"/>
      <c r="L210" s="17"/>
      <c r="M210" s="17"/>
      <c r="P210" s="17"/>
      <c r="Q210" s="17"/>
      <c r="R210" s="43"/>
      <c r="S210" s="17"/>
      <c r="T210" s="17"/>
      <c r="U210" s="17"/>
      <c r="V210" s="43"/>
      <c r="W210" s="17"/>
      <c r="X210" s="17"/>
    </row>
    <row r="211" spans="1:24" x14ac:dyDescent="0.3">
      <c r="D211" s="17"/>
      <c r="E211" s="17"/>
      <c r="G211" s="17"/>
      <c r="H211" s="17"/>
      <c r="I211" s="17"/>
      <c r="J211" s="43"/>
      <c r="K211" s="17"/>
      <c r="L211" s="17"/>
      <c r="M211" s="17"/>
      <c r="P211" s="17"/>
      <c r="Q211" s="17"/>
      <c r="R211" s="43"/>
      <c r="S211" s="17"/>
      <c r="T211" s="17"/>
      <c r="U211" s="17"/>
      <c r="V211" s="43"/>
      <c r="W211" s="17"/>
      <c r="X211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313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1856168.02</v>
      </c>
      <c r="E12" s="4"/>
      <c r="F12" s="12"/>
      <c r="G12" s="4"/>
      <c r="H12" s="4">
        <f>SUM(OSRRefH13x_0)</f>
        <v>2088760.2300000009</v>
      </c>
      <c r="I12" s="4"/>
      <c r="J12" s="12"/>
      <c r="K12" s="4"/>
      <c r="L12" s="4">
        <f t="shared" ref="L12:L86" si="0">+D12-H12</f>
        <v>-232592.21000000089</v>
      </c>
      <c r="M12" s="4"/>
      <c r="N12" s="12">
        <f t="shared" ref="N12:N86" si="1">IF(H12=0,0,L12/H12)</f>
        <v>-0.11135419310429938</v>
      </c>
      <c r="O12" s="10"/>
      <c r="P12" s="4">
        <f>SUM(OSRRefP13x_0)</f>
        <v>2171972.5399999996</v>
      </c>
      <c r="Q12" s="4"/>
      <c r="R12" s="12"/>
      <c r="S12" s="4"/>
      <c r="T12" s="4">
        <f>SUM(OSRRefT13x_0)</f>
        <v>2524394.5500000007</v>
      </c>
      <c r="U12" s="4"/>
      <c r="V12" s="12"/>
      <c r="W12" s="4"/>
      <c r="X12" s="4">
        <f t="shared" ref="X12:X86" si="2">+P12-T12</f>
        <v>-352422.01000000117</v>
      </c>
      <c r="Y12" s="4"/>
      <c r="Z12" s="12">
        <f t="shared" ref="Z12:Z86" si="3">IF(T12=0,0,X12/T12)</f>
        <v>-0.13960654842960307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--1519627.85</f>
        <v>1519627.85</v>
      </c>
      <c r="E13" s="2"/>
      <c r="F13" s="19"/>
      <c r="G13" s="2"/>
      <c r="H13" s="2">
        <f>-18033.67</f>
        <v>-18033.669999999998</v>
      </c>
      <c r="I13" s="2"/>
      <c r="J13" s="19"/>
      <c r="K13" s="2"/>
      <c r="L13" s="2">
        <f t="shared" si="0"/>
        <v>1537661.52</v>
      </c>
      <c r="M13" s="2"/>
      <c r="N13" s="19">
        <f t="shared" si="1"/>
        <v>-85.26614493888377</v>
      </c>
      <c r="O13" s="11"/>
      <c r="P13" s="2">
        <f>--1789632.44</f>
        <v>1789632.44</v>
      </c>
      <c r="Q13" s="2"/>
      <c r="R13" s="19"/>
      <c r="S13" s="2"/>
      <c r="T13" s="2">
        <f>-29128.04</f>
        <v>-29128.04</v>
      </c>
      <c r="U13" s="2"/>
      <c r="V13" s="19"/>
      <c r="W13" s="2"/>
      <c r="X13" s="2">
        <f t="shared" si="2"/>
        <v>1818760.48</v>
      </c>
      <c r="Y13" s="2"/>
      <c r="Z13" s="19">
        <f t="shared" si="3"/>
        <v>-62.440194396876684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--572249.47</f>
        <v>572249.47</v>
      </c>
      <c r="I14" s="2"/>
      <c r="J14" s="19"/>
      <c r="K14" s="2"/>
      <c r="L14" s="2">
        <f t="shared" si="0"/>
        <v>-572249.47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--584197.32</f>
        <v>584197.31999999995</v>
      </c>
      <c r="U14" s="2"/>
      <c r="V14" s="19"/>
      <c r="W14" s="2"/>
      <c r="X14" s="2">
        <f t="shared" si="2"/>
        <v>-584197.31999999995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--265582.82</f>
        <v>265582.82</v>
      </c>
      <c r="I15" s="2"/>
      <c r="J15" s="19"/>
      <c r="K15" s="2"/>
      <c r="L15" s="2">
        <f t="shared" si="0"/>
        <v>-265582.82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--278612.16</f>
        <v>278612.15999999997</v>
      </c>
      <c r="U15" s="2"/>
      <c r="V15" s="19"/>
      <c r="W15" s="2"/>
      <c r="X15" s="2">
        <f t="shared" si="2"/>
        <v>-278612.15999999997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5"/>
        <v>0</v>
      </c>
      <c r="Q21" s="2"/>
      <c r="R21" s="19"/>
      <c r="S21" s="2"/>
      <c r="T21" s="2">
        <f>--236.56</f>
        <v>236.56</v>
      </c>
      <c r="U21" s="2"/>
      <c r="V21" s="19"/>
      <c r="W21" s="2"/>
      <c r="X21" s="2">
        <f t="shared" si="2"/>
        <v>-236.56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--20247.89</f>
        <v>20247.89</v>
      </c>
      <c r="I22" s="2"/>
      <c r="J22" s="19"/>
      <c r="K22" s="2"/>
      <c r="L22" s="2">
        <f t="shared" si="0"/>
        <v>-20247.89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--21901.06</f>
        <v>21901.06</v>
      </c>
      <c r="U22" s="2"/>
      <c r="V22" s="19"/>
      <c r="W22" s="2"/>
      <c r="X22" s="2">
        <f t="shared" si="2"/>
        <v>-21901.06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--9671.25</f>
        <v>9671.25</v>
      </c>
      <c r="I23" s="2"/>
      <c r="J23" s="19"/>
      <c r="K23" s="2"/>
      <c r="L23" s="2">
        <f t="shared" si="0"/>
        <v>-9671.25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--9691.1</f>
        <v>9691.1</v>
      </c>
      <c r="U23" s="2"/>
      <c r="V23" s="19"/>
      <c r="W23" s="2"/>
      <c r="X23" s="2">
        <f t="shared" si="2"/>
        <v>-9691.1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--532.51</f>
        <v>532.51</v>
      </c>
      <c r="I24" s="2"/>
      <c r="J24" s="19"/>
      <c r="K24" s="2"/>
      <c r="L24" s="2">
        <f t="shared" si="0"/>
        <v>-532.51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--552.26</f>
        <v>552.26</v>
      </c>
      <c r="U24" s="2"/>
      <c r="V24" s="19"/>
      <c r="W24" s="2"/>
      <c r="X24" s="2">
        <f t="shared" si="2"/>
        <v>-552.26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--177286.09</f>
        <v>177286.09</v>
      </c>
      <c r="I26" s="2"/>
      <c r="J26" s="19"/>
      <c r="K26" s="2"/>
      <c r="L26" s="2">
        <f t="shared" si="0"/>
        <v>-177286.09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--249578.35</f>
        <v>249578.35</v>
      </c>
      <c r="U26" s="2"/>
      <c r="V26" s="19"/>
      <c r="W26" s="2"/>
      <c r="X26" s="2">
        <f t="shared" si="2"/>
        <v>-249578.35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--82120.65</f>
        <v>82120.649999999994</v>
      </c>
      <c r="I27" s="2"/>
      <c r="J27" s="19"/>
      <c r="K27" s="2"/>
      <c r="L27" s="2">
        <f t="shared" si="0"/>
        <v>-82120.649999999994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--103309.56</f>
        <v>103309.56</v>
      </c>
      <c r="U27" s="2"/>
      <c r="V27" s="19"/>
      <c r="W27" s="2"/>
      <c r="X27" s="2">
        <f t="shared" si="2"/>
        <v>-103309.56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--30421.14</f>
        <v>30421.14</v>
      </c>
      <c r="I28" s="2"/>
      <c r="J28" s="19"/>
      <c r="K28" s="2"/>
      <c r="L28" s="2">
        <f t="shared" si="0"/>
        <v>-30421.14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--39925.04</f>
        <v>39925.040000000001</v>
      </c>
      <c r="U28" s="2"/>
      <c r="V28" s="19"/>
      <c r="W28" s="2"/>
      <c r="X28" s="2">
        <f t="shared" si="2"/>
        <v>-39925.040000000001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--6768.27</f>
        <v>6768.27</v>
      </c>
      <c r="I29" s="2"/>
      <c r="J29" s="19"/>
      <c r="K29" s="2"/>
      <c r="L29" s="2">
        <f t="shared" si="0"/>
        <v>-6768.27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--6985.63</f>
        <v>6985.63</v>
      </c>
      <c r="U29" s="2"/>
      <c r="V29" s="19"/>
      <c r="W29" s="2"/>
      <c r="X29" s="2">
        <f t="shared" si="2"/>
        <v>-6985.63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--6568.52</f>
        <v>6568.52</v>
      </c>
      <c r="I30" s="2"/>
      <c r="J30" s="19"/>
      <c r="K30" s="2"/>
      <c r="L30" s="2">
        <f t="shared" si="0"/>
        <v>-6568.52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--8369.2</f>
        <v>8369.2000000000007</v>
      </c>
      <c r="U30" s="2"/>
      <c r="V30" s="19"/>
      <c r="W30" s="2"/>
      <c r="X30" s="2">
        <f t="shared" si="2"/>
        <v>-8369.2000000000007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--46004.35</f>
        <v>46004.35</v>
      </c>
      <c r="I31" s="2"/>
      <c r="J31" s="19"/>
      <c r="K31" s="2"/>
      <c r="L31" s="2">
        <f t="shared" si="0"/>
        <v>-46004.35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--89431.08</f>
        <v>89431.08</v>
      </c>
      <c r="U31" s="2"/>
      <c r="V31" s="19"/>
      <c r="W31" s="2"/>
      <c r="X31" s="2">
        <f t="shared" si="2"/>
        <v>-89431.08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--16305.86</f>
        <v>16305.86</v>
      </c>
      <c r="I32" s="2"/>
      <c r="J32" s="19"/>
      <c r="K32" s="2"/>
      <c r="L32" s="2">
        <f t="shared" si="0"/>
        <v>-16305.86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--37863.02</f>
        <v>37863.019999999997</v>
      </c>
      <c r="U32" s="2"/>
      <c r="V32" s="19"/>
      <c r="W32" s="2"/>
      <c r="X32" s="2">
        <f t="shared" si="2"/>
        <v>-37863.019999999997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--403983.14</f>
        <v>403983.14</v>
      </c>
      <c r="I33" s="2"/>
      <c r="J33" s="19"/>
      <c r="K33" s="2"/>
      <c r="L33" s="2">
        <f t="shared" si="0"/>
        <v>-403983.14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--541212.01</f>
        <v>541212.01</v>
      </c>
      <c r="U33" s="2"/>
      <c r="V33" s="19"/>
      <c r="W33" s="2"/>
      <c r="X33" s="2">
        <f t="shared" si="2"/>
        <v>-541212.01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--42925.21</f>
        <v>42925.21</v>
      </c>
      <c r="I34" s="2"/>
      <c r="J34" s="19"/>
      <c r="K34" s="2"/>
      <c r="L34" s="2">
        <f t="shared" si="0"/>
        <v>-42925.21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--49715.36</f>
        <v>49715.360000000001</v>
      </c>
      <c r="U34" s="2"/>
      <c r="V34" s="19"/>
      <c r="W34" s="2"/>
      <c r="X34" s="2">
        <f t="shared" si="2"/>
        <v>-49715.360000000001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--129</f>
        <v>129</v>
      </c>
      <c r="I35" s="2"/>
      <c r="J35" s="19"/>
      <c r="K35" s="2"/>
      <c r="L35" s="2">
        <f t="shared" si="0"/>
        <v>-129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--129</f>
        <v>129</v>
      </c>
      <c r="U35" s="2"/>
      <c r="V35" s="19"/>
      <c r="W35" s="2"/>
      <c r="X35" s="2">
        <f t="shared" si="2"/>
        <v>-129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--1308.27</f>
        <v>1308.27</v>
      </c>
      <c r="I36" s="2"/>
      <c r="J36" s="19"/>
      <c r="K36" s="2"/>
      <c r="L36" s="2">
        <f t="shared" si="0"/>
        <v>-1308.27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--27267.48</f>
        <v>27267.48</v>
      </c>
      <c r="U36" s="2"/>
      <c r="V36" s="19"/>
      <c r="W36" s="2"/>
      <c r="X36" s="2">
        <f t="shared" si="2"/>
        <v>-27267.48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--402611.72</f>
        <v>402611.72</v>
      </c>
      <c r="E37" s="2"/>
      <c r="F37" s="19"/>
      <c r="G37" s="2"/>
      <c r="H37" s="2">
        <f>--150360.03</f>
        <v>150360.03</v>
      </c>
      <c r="I37" s="2"/>
      <c r="J37" s="19"/>
      <c r="K37" s="2"/>
      <c r="L37" s="2">
        <f t="shared" si="0"/>
        <v>252251.68999999997</v>
      </c>
      <c r="M37" s="2"/>
      <c r="N37" s="19">
        <f t="shared" si="1"/>
        <v>1.6776512348394714</v>
      </c>
      <c r="O37" s="11"/>
      <c r="P37" s="2">
        <f>--482678.24</f>
        <v>482678.24</v>
      </c>
      <c r="Q37" s="2"/>
      <c r="R37" s="19"/>
      <c r="S37" s="2"/>
      <c r="T37" s="2">
        <f>--153398.33</f>
        <v>153398.32999999999</v>
      </c>
      <c r="U37" s="2"/>
      <c r="V37" s="19"/>
      <c r="W37" s="2"/>
      <c r="X37" s="2">
        <f t="shared" si="2"/>
        <v>329279.91000000003</v>
      </c>
      <c r="Y37" s="2"/>
      <c r="Z37" s="19">
        <f t="shared" si="3"/>
        <v>2.1465677625043251</v>
      </c>
    </row>
    <row r="38" spans="1:26" s="24" customFormat="1" hidden="1" outlineLevel="1" x14ac:dyDescent="0.3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49" si="6">0</f>
        <v>0</v>
      </c>
      <c r="E38" s="2"/>
      <c r="F38" s="19"/>
      <c r="G38" s="2"/>
      <c r="H38" s="2">
        <f>--41238.82</f>
        <v>41238.82</v>
      </c>
      <c r="I38" s="2"/>
      <c r="J38" s="19"/>
      <c r="K38" s="2"/>
      <c r="L38" s="2">
        <f t="shared" si="0"/>
        <v>-41238.82</v>
      </c>
      <c r="M38" s="2"/>
      <c r="N38" s="19">
        <f t="shared" si="1"/>
        <v>-1</v>
      </c>
      <c r="O38" s="11"/>
      <c r="P38" s="2">
        <f t="shared" ref="P38:P49" si="7">0</f>
        <v>0</v>
      </c>
      <c r="Q38" s="2"/>
      <c r="R38" s="19"/>
      <c r="S38" s="2"/>
      <c r="T38" s="2">
        <f>--51580.68</f>
        <v>51580.68</v>
      </c>
      <c r="U38" s="2"/>
      <c r="V38" s="19"/>
      <c r="W38" s="2"/>
      <c r="X38" s="2">
        <f t="shared" si="2"/>
        <v>-51580.68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6"/>
        <v>0</v>
      </c>
      <c r="E39" s="2"/>
      <c r="F39" s="19"/>
      <c r="G39" s="2"/>
      <c r="H39" s="2">
        <f>--17373.3</f>
        <v>17373.3</v>
      </c>
      <c r="I39" s="2"/>
      <c r="J39" s="19"/>
      <c r="K39" s="2"/>
      <c r="L39" s="2">
        <f t="shared" si="0"/>
        <v>-17373.3</v>
      </c>
      <c r="M39" s="2"/>
      <c r="N39" s="19">
        <f t="shared" si="1"/>
        <v>-1</v>
      </c>
      <c r="O39" s="11"/>
      <c r="P39" s="2">
        <f t="shared" si="7"/>
        <v>0</v>
      </c>
      <c r="Q39" s="2"/>
      <c r="R39" s="19"/>
      <c r="S39" s="2"/>
      <c r="T39" s="2">
        <f>--21563.74</f>
        <v>21563.74</v>
      </c>
      <c r="U39" s="2"/>
      <c r="V39" s="19"/>
      <c r="W39" s="2"/>
      <c r="X39" s="2">
        <f t="shared" si="2"/>
        <v>-21563.74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6"/>
        <v>0</v>
      </c>
      <c r="E40" s="2"/>
      <c r="F40" s="19"/>
      <c r="G40" s="2"/>
      <c r="H40" s="2">
        <f>--205404.66</f>
        <v>205404.66</v>
      </c>
      <c r="I40" s="2"/>
      <c r="J40" s="19"/>
      <c r="K40" s="2"/>
      <c r="L40" s="2">
        <f t="shared" si="0"/>
        <v>-205404.66</v>
      </c>
      <c r="M40" s="2"/>
      <c r="N40" s="19">
        <f t="shared" si="1"/>
        <v>-1</v>
      </c>
      <c r="O40" s="11"/>
      <c r="P40" s="2">
        <f t="shared" si="7"/>
        <v>0</v>
      </c>
      <c r="Q40" s="2"/>
      <c r="R40" s="19"/>
      <c r="S40" s="2"/>
      <c r="T40" s="2">
        <f>--212890.18</f>
        <v>212890.18</v>
      </c>
      <c r="U40" s="2"/>
      <c r="V40" s="19"/>
      <c r="W40" s="2"/>
      <c r="X40" s="2">
        <f t="shared" si="2"/>
        <v>-212890.18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si="6"/>
        <v>0</v>
      </c>
      <c r="E41" s="2"/>
      <c r="F41" s="19"/>
      <c r="G41" s="2"/>
      <c r="H41" s="2">
        <f>--47.87</f>
        <v>47.87</v>
      </c>
      <c r="I41" s="2"/>
      <c r="J41" s="19"/>
      <c r="K41" s="2"/>
      <c r="L41" s="2">
        <f t="shared" si="0"/>
        <v>-47.87</v>
      </c>
      <c r="M41" s="2"/>
      <c r="N41" s="19">
        <f t="shared" si="1"/>
        <v>-1</v>
      </c>
      <c r="O41" s="11"/>
      <c r="P41" s="2">
        <f t="shared" si="7"/>
        <v>0</v>
      </c>
      <c r="Q41" s="2"/>
      <c r="R41" s="19"/>
      <c r="S41" s="2"/>
      <c r="T41" s="2">
        <f>--101.83</f>
        <v>101.83</v>
      </c>
      <c r="U41" s="2"/>
      <c r="V41" s="19"/>
      <c r="W41" s="2"/>
      <c r="X41" s="2">
        <f t="shared" si="2"/>
        <v>-101.83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6"/>
        <v>0</v>
      </c>
      <c r="E42" s="2"/>
      <c r="F42" s="19"/>
      <c r="G42" s="2"/>
      <c r="H42" s="2">
        <f>0</f>
        <v>0</v>
      </c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 t="shared" si="7"/>
        <v>0</v>
      </c>
      <c r="Q42" s="2"/>
      <c r="R42" s="19"/>
      <c r="S42" s="2"/>
      <c r="T42" s="2">
        <f>--52.68</f>
        <v>52.68</v>
      </c>
      <c r="U42" s="2"/>
      <c r="V42" s="19"/>
      <c r="W42" s="2"/>
      <c r="X42" s="2">
        <f t="shared" si="2"/>
        <v>-52.68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 t="shared" si="6"/>
        <v>0</v>
      </c>
      <c r="E43" s="2"/>
      <c r="F43" s="19"/>
      <c r="G43" s="2"/>
      <c r="H43" s="2">
        <f>--1788.16</f>
        <v>1788.16</v>
      </c>
      <c r="I43" s="2"/>
      <c r="J43" s="19"/>
      <c r="K43" s="2"/>
      <c r="L43" s="2">
        <f t="shared" si="0"/>
        <v>-1788.16</v>
      </c>
      <c r="M43" s="2"/>
      <c r="N43" s="19">
        <f t="shared" si="1"/>
        <v>-1</v>
      </c>
      <c r="O43" s="11"/>
      <c r="P43" s="2">
        <f t="shared" si="7"/>
        <v>0</v>
      </c>
      <c r="Q43" s="2"/>
      <c r="R43" s="19"/>
      <c r="S43" s="2"/>
      <c r="T43" s="2">
        <f>--1860.41</f>
        <v>1860.41</v>
      </c>
      <c r="U43" s="2"/>
      <c r="V43" s="19"/>
      <c r="W43" s="2"/>
      <c r="X43" s="2">
        <f t="shared" si="2"/>
        <v>-1860.41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"4131", " - ", "NON-TAXABLE SALES-FOOD")</f>
        <v xml:space="preserve">          4131 - NON-TAXABLE SALES-FOOD</v>
      </c>
      <c r="C44" s="11"/>
      <c r="D44" s="2">
        <f t="shared" si="6"/>
        <v>0</v>
      </c>
      <c r="E44" s="2"/>
      <c r="F44" s="19"/>
      <c r="G44" s="2"/>
      <c r="H44" s="2">
        <f>--1575.79</f>
        <v>1575.79</v>
      </c>
      <c r="I44" s="2"/>
      <c r="J44" s="19"/>
      <c r="K44" s="2"/>
      <c r="L44" s="2">
        <f t="shared" si="0"/>
        <v>-1575.79</v>
      </c>
      <c r="M44" s="2"/>
      <c r="N44" s="19">
        <f t="shared" si="1"/>
        <v>-1</v>
      </c>
      <c r="O44" s="11"/>
      <c r="P44" s="2">
        <f t="shared" si="7"/>
        <v>0</v>
      </c>
      <c r="Q44" s="2"/>
      <c r="R44" s="19"/>
      <c r="S44" s="2"/>
      <c r="T44" s="2">
        <f>--1835.22</f>
        <v>1835.22</v>
      </c>
      <c r="U44" s="2"/>
      <c r="V44" s="19"/>
      <c r="W44" s="2"/>
      <c r="X44" s="2">
        <f t="shared" si="2"/>
        <v>-1835.22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si="6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7"/>
        <v>0</v>
      </c>
      <c r="Q45" s="2"/>
      <c r="R45" s="19"/>
      <c r="S45" s="2"/>
      <c r="T45" s="2">
        <f>--22.49</f>
        <v>22.49</v>
      </c>
      <c r="U45" s="2"/>
      <c r="V45" s="19"/>
      <c r="W45" s="2"/>
      <c r="X45" s="2">
        <f t="shared" si="2"/>
        <v>-22.49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6"/>
        <v>0</v>
      </c>
      <c r="E46" s="2"/>
      <c r="F46" s="19"/>
      <c r="G46" s="2"/>
      <c r="H46" s="2">
        <f>--12.43</f>
        <v>12.43</v>
      </c>
      <c r="I46" s="2"/>
      <c r="J46" s="19"/>
      <c r="K46" s="2"/>
      <c r="L46" s="2">
        <f t="shared" si="0"/>
        <v>-12.43</v>
      </c>
      <c r="M46" s="2"/>
      <c r="N46" s="19">
        <f t="shared" si="1"/>
        <v>-1</v>
      </c>
      <c r="O46" s="11"/>
      <c r="P46" s="2">
        <f t="shared" si="7"/>
        <v>0</v>
      </c>
      <c r="Q46" s="2"/>
      <c r="R46" s="19"/>
      <c r="S46" s="2"/>
      <c r="T46" s="2">
        <f>--80.71</f>
        <v>80.709999999999994</v>
      </c>
      <c r="U46" s="2"/>
      <c r="V46" s="19"/>
      <c r="W46" s="2"/>
      <c r="X46" s="2">
        <f t="shared" si="2"/>
        <v>-80.709999999999994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6"/>
        <v>0</v>
      </c>
      <c r="E47" s="2"/>
      <c r="F47" s="19"/>
      <c r="G47" s="2"/>
      <c r="H47" s="2">
        <f t="shared" ref="H47:H48" si="8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7"/>
        <v>0</v>
      </c>
      <c r="Q47" s="2"/>
      <c r="R47" s="19"/>
      <c r="S47" s="2"/>
      <c r="T47" s="2">
        <f>--45.53</f>
        <v>45.53</v>
      </c>
      <c r="U47" s="2"/>
      <c r="V47" s="19"/>
      <c r="W47" s="2"/>
      <c r="X47" s="2">
        <f t="shared" si="2"/>
        <v>-45.53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6"/>
        <v>0</v>
      </c>
      <c r="E48" s="2"/>
      <c r="F48" s="19"/>
      <c r="G48" s="2"/>
      <c r="H48" s="2">
        <f t="shared" si="8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7"/>
        <v>0</v>
      </c>
      <c r="Q48" s="2"/>
      <c r="R48" s="19"/>
      <c r="S48" s="2"/>
      <c r="T48" s="2">
        <f>--68.25</f>
        <v>68.25</v>
      </c>
      <c r="U48" s="2"/>
      <c r="V48" s="19"/>
      <c r="W48" s="2"/>
      <c r="X48" s="2">
        <f t="shared" si="2"/>
        <v>-68.25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 t="shared" si="6"/>
        <v>0</v>
      </c>
      <c r="E49" s="2"/>
      <c r="F49" s="19"/>
      <c r="G49" s="2"/>
      <c r="H49" s="2">
        <f>--7266.5</f>
        <v>7266.5</v>
      </c>
      <c r="I49" s="2"/>
      <c r="J49" s="19"/>
      <c r="K49" s="2"/>
      <c r="L49" s="2">
        <f t="shared" si="0"/>
        <v>-7266.5</v>
      </c>
      <c r="M49" s="2"/>
      <c r="N49" s="19">
        <f t="shared" si="1"/>
        <v>-1</v>
      </c>
      <c r="O49" s="11"/>
      <c r="P49" s="2">
        <f t="shared" si="7"/>
        <v>0</v>
      </c>
      <c r="Q49" s="2"/>
      <c r="R49" s="19"/>
      <c r="S49" s="2"/>
      <c r="T49" s="2">
        <f>--14112.74</f>
        <v>14112.74</v>
      </c>
      <c r="U49" s="2"/>
      <c r="V49" s="19"/>
      <c r="W49" s="2"/>
      <c r="X49" s="2">
        <f t="shared" si="2"/>
        <v>-14112.74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--389.5</f>
        <v>389.5</v>
      </c>
      <c r="E50" s="2"/>
      <c r="F50" s="19"/>
      <c r="G50" s="2"/>
      <c r="H50" s="2">
        <f>--1189.06</f>
        <v>1189.06</v>
      </c>
      <c r="I50" s="2"/>
      <c r="J50" s="19"/>
      <c r="K50" s="2"/>
      <c r="L50" s="2">
        <f t="shared" si="0"/>
        <v>-799.56</v>
      </c>
      <c r="M50" s="2"/>
      <c r="N50" s="19">
        <f t="shared" si="1"/>
        <v>-0.6724303231123745</v>
      </c>
      <c r="O50" s="11"/>
      <c r="P50" s="2">
        <f>--389.5</f>
        <v>389.5</v>
      </c>
      <c r="Q50" s="2"/>
      <c r="R50" s="19"/>
      <c r="S50" s="2"/>
      <c r="T50" s="2">
        <f>--2389.25</f>
        <v>2389.25</v>
      </c>
      <c r="U50" s="2"/>
      <c r="V50" s="19"/>
      <c r="W50" s="2"/>
      <c r="X50" s="2">
        <f t="shared" si="2"/>
        <v>-1999.75</v>
      </c>
      <c r="Y50" s="2"/>
      <c r="Z50" s="19">
        <f t="shared" si="3"/>
        <v>-0.83697813121272369</v>
      </c>
    </row>
    <row r="51" spans="1:26" s="24" customFormat="1" hidden="1" outlineLevel="1" x14ac:dyDescent="0.3">
      <c r="A51" s="44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 t="shared" ref="D51:D54" si="9">0</f>
        <v>0</v>
      </c>
      <c r="E51" s="2"/>
      <c r="F51" s="19"/>
      <c r="G51" s="2"/>
      <c r="H51" s="2">
        <f>--339.4</f>
        <v>339.4</v>
      </c>
      <c r="I51" s="2"/>
      <c r="J51" s="19"/>
      <c r="K51" s="2"/>
      <c r="L51" s="2">
        <f t="shared" si="0"/>
        <v>-339.4</v>
      </c>
      <c r="M51" s="2"/>
      <c r="N51" s="19">
        <f t="shared" si="1"/>
        <v>-1</v>
      </c>
      <c r="O51" s="11"/>
      <c r="P51" s="2">
        <f t="shared" ref="P51:P54" si="10">0</f>
        <v>0</v>
      </c>
      <c r="Q51" s="2"/>
      <c r="R51" s="19"/>
      <c r="S51" s="2"/>
      <c r="T51" s="2">
        <f>--979.57</f>
        <v>979.57</v>
      </c>
      <c r="U51" s="2"/>
      <c r="V51" s="19"/>
      <c r="W51" s="2"/>
      <c r="X51" s="2">
        <f t="shared" si="2"/>
        <v>-979.57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"4143", " - ", "NON-TAXABLE SALES-CARDS")</f>
        <v xml:space="preserve">          4143 - NON-TAXABLE SALES-CARDS</v>
      </c>
      <c r="C52" s="11"/>
      <c r="D52" s="2">
        <f t="shared" si="9"/>
        <v>0</v>
      </c>
      <c r="E52" s="2"/>
      <c r="F52" s="19"/>
      <c r="G52" s="2"/>
      <c r="H52" s="2">
        <f>--19.98</f>
        <v>19.98</v>
      </c>
      <c r="I52" s="2"/>
      <c r="J52" s="19"/>
      <c r="K52" s="2"/>
      <c r="L52" s="2">
        <f t="shared" si="0"/>
        <v>-19.98</v>
      </c>
      <c r="M52" s="2"/>
      <c r="N52" s="19">
        <f t="shared" si="1"/>
        <v>-1</v>
      </c>
      <c r="O52" s="11"/>
      <c r="P52" s="2">
        <f t="shared" si="10"/>
        <v>0</v>
      </c>
      <c r="Q52" s="2"/>
      <c r="R52" s="19"/>
      <c r="S52" s="2"/>
      <c r="T52" s="2">
        <f>--19.98</f>
        <v>19.98</v>
      </c>
      <c r="U52" s="2"/>
      <c r="V52" s="19"/>
      <c r="W52" s="2"/>
      <c r="X52" s="2">
        <f t="shared" si="2"/>
        <v>-19.98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 t="shared" si="9"/>
        <v>0</v>
      </c>
      <c r="E53" s="2"/>
      <c r="F53" s="19"/>
      <c r="G53" s="2"/>
      <c r="H53" s="2">
        <f>--107.95</f>
        <v>107.95</v>
      </c>
      <c r="I53" s="2"/>
      <c r="J53" s="19"/>
      <c r="K53" s="2"/>
      <c r="L53" s="2">
        <f t="shared" si="0"/>
        <v>-107.95</v>
      </c>
      <c r="M53" s="2"/>
      <c r="N53" s="19">
        <f t="shared" si="1"/>
        <v>-1</v>
      </c>
      <c r="O53" s="11"/>
      <c r="P53" s="2">
        <f t="shared" si="10"/>
        <v>0</v>
      </c>
      <c r="Q53" s="2"/>
      <c r="R53" s="19"/>
      <c r="S53" s="2"/>
      <c r="T53" s="2">
        <f>--155.8</f>
        <v>155.80000000000001</v>
      </c>
      <c r="U53" s="2"/>
      <c r="V53" s="19"/>
      <c r="W53" s="2"/>
      <c r="X53" s="2">
        <f t="shared" si="2"/>
        <v>-155.80000000000001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 t="shared" si="9"/>
        <v>0</v>
      </c>
      <c r="E54" s="2"/>
      <c r="F54" s="19"/>
      <c r="G54" s="2"/>
      <c r="H54" s="2">
        <f>--350</f>
        <v>350</v>
      </c>
      <c r="I54" s="2"/>
      <c r="J54" s="19"/>
      <c r="K54" s="2"/>
      <c r="L54" s="2">
        <f t="shared" si="0"/>
        <v>-350</v>
      </c>
      <c r="M54" s="2"/>
      <c r="N54" s="19">
        <f t="shared" si="1"/>
        <v>-1</v>
      </c>
      <c r="O54" s="11"/>
      <c r="P54" s="2">
        <f t="shared" si="10"/>
        <v>0</v>
      </c>
      <c r="Q54" s="2"/>
      <c r="R54" s="19"/>
      <c r="S54" s="2"/>
      <c r="T54" s="2">
        <f>--35846</f>
        <v>35846</v>
      </c>
      <c r="U54" s="2"/>
      <c r="V54" s="19"/>
      <c r="W54" s="2"/>
      <c r="X54" s="2">
        <f t="shared" si="2"/>
        <v>-35846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--2713.4</f>
        <v>2713.4</v>
      </c>
      <c r="E55" s="2"/>
      <c r="F55" s="19"/>
      <c r="G55" s="2"/>
      <c r="H55" s="2">
        <f>--15.5</f>
        <v>15.5</v>
      </c>
      <c r="I55" s="2"/>
      <c r="J55" s="19"/>
      <c r="K55" s="2"/>
      <c r="L55" s="2">
        <f t="shared" si="0"/>
        <v>2697.9</v>
      </c>
      <c r="M55" s="2"/>
      <c r="N55" s="19">
        <f t="shared" si="1"/>
        <v>174.05806451612904</v>
      </c>
      <c r="O55" s="11"/>
      <c r="P55" s="2">
        <f>--2733.6</f>
        <v>2733.6</v>
      </c>
      <c r="Q55" s="2"/>
      <c r="R55" s="19"/>
      <c r="S55" s="2"/>
      <c r="T55" s="2">
        <f>--15.5</f>
        <v>15.5</v>
      </c>
      <c r="U55" s="2"/>
      <c r="V55" s="19"/>
      <c r="W55" s="2"/>
      <c r="X55" s="2">
        <f t="shared" si="2"/>
        <v>2718.1</v>
      </c>
      <c r="Y55" s="2"/>
      <c r="Z55" s="19">
        <f t="shared" si="3"/>
        <v>175.36129032258063</v>
      </c>
    </row>
    <row r="56" spans="1:26" s="24" customFormat="1" hidden="1" outlineLevel="1" x14ac:dyDescent="0.3">
      <c r="A56" s="44"/>
      <c r="B56" s="11" t="str">
        <f>CONCATENATE("          ", "4147", " - ", "NON-TAXABLE SALES-MISC")</f>
        <v xml:space="preserve">          4147 - NON-TAXABLE SALES-MISC</v>
      </c>
      <c r="C56" s="11"/>
      <c r="D56" s="2">
        <f t="shared" ref="D56:D61" si="11">0</f>
        <v>0</v>
      </c>
      <c r="E56" s="2"/>
      <c r="F56" s="19"/>
      <c r="G56" s="2"/>
      <c r="H56" s="2">
        <f>--23</f>
        <v>23</v>
      </c>
      <c r="I56" s="2"/>
      <c r="J56" s="19"/>
      <c r="K56" s="2"/>
      <c r="L56" s="2">
        <f t="shared" si="0"/>
        <v>-23</v>
      </c>
      <c r="M56" s="2"/>
      <c r="N56" s="19">
        <f t="shared" si="1"/>
        <v>-1</v>
      </c>
      <c r="O56" s="11"/>
      <c r="P56" s="2">
        <f t="shared" ref="P56:P61" si="12">0</f>
        <v>0</v>
      </c>
      <c r="Q56" s="2"/>
      <c r="R56" s="19"/>
      <c r="S56" s="2"/>
      <c r="T56" s="2">
        <f>--24</f>
        <v>24</v>
      </c>
      <c r="U56" s="2"/>
      <c r="V56" s="19"/>
      <c r="W56" s="2"/>
      <c r="X56" s="2">
        <f t="shared" si="2"/>
        <v>-24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"4181", " - ", "NON-TAXABLE SALES-ELECTRONICS")</f>
        <v xml:space="preserve">          4181 - NON-TAXABLE SALES-ELECTRONICS</v>
      </c>
      <c r="C57" s="11"/>
      <c r="D57" s="2">
        <f t="shared" si="11"/>
        <v>0</v>
      </c>
      <c r="E57" s="2"/>
      <c r="F57" s="19"/>
      <c r="G57" s="2"/>
      <c r="H57" s="2">
        <f>--2349.29</f>
        <v>2349.29</v>
      </c>
      <c r="I57" s="2"/>
      <c r="J57" s="19"/>
      <c r="K57" s="2"/>
      <c r="L57" s="2">
        <f t="shared" si="0"/>
        <v>-2349.29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--2639.27</f>
        <v>2639.27</v>
      </c>
      <c r="U57" s="2"/>
      <c r="V57" s="19"/>
      <c r="W57" s="2"/>
      <c r="X57" s="2">
        <f t="shared" si="2"/>
        <v>-2639.27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"4182", " - ", "NON-TAXABLE SALES-COMPUTER HAR")</f>
        <v xml:space="preserve">          4182 - NON-TAXABLE SALES-COMPUTER HAR</v>
      </c>
      <c r="C58" s="11"/>
      <c r="D58" s="2">
        <f t="shared" si="11"/>
        <v>0</v>
      </c>
      <c r="E58" s="2"/>
      <c r="F58" s="19"/>
      <c r="G58" s="2"/>
      <c r="H58" s="2">
        <f>--46190.39</f>
        <v>46190.39</v>
      </c>
      <c r="I58" s="2"/>
      <c r="J58" s="19"/>
      <c r="K58" s="2"/>
      <c r="L58" s="2">
        <f t="shared" si="0"/>
        <v>-46190.39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--82067.38</f>
        <v>82067.38</v>
      </c>
      <c r="U58" s="2"/>
      <c r="V58" s="19"/>
      <c r="W58" s="2"/>
      <c r="X58" s="2">
        <f t="shared" si="2"/>
        <v>-82067.38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"4183", " - ", "NON-TAXABLE SALES-COMPUTER EQU")</f>
        <v xml:space="preserve">          4183 - NON-TAXABLE SALES-COMPUTER EQU</v>
      </c>
      <c r="C59" s="11"/>
      <c r="D59" s="2">
        <f t="shared" si="11"/>
        <v>0</v>
      </c>
      <c r="E59" s="2"/>
      <c r="F59" s="19"/>
      <c r="G59" s="2"/>
      <c r="H59" s="2">
        <f>--1759.83</f>
        <v>1759.83</v>
      </c>
      <c r="I59" s="2"/>
      <c r="J59" s="19"/>
      <c r="K59" s="2"/>
      <c r="L59" s="2">
        <f t="shared" si="0"/>
        <v>-1759.83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--3119.68</f>
        <v>3119.68</v>
      </c>
      <c r="U59" s="2"/>
      <c r="V59" s="19"/>
      <c r="W59" s="2"/>
      <c r="X59" s="2">
        <f t="shared" si="2"/>
        <v>-3119.68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"4185", " - ", "NON-TAXABLE SALES-SOFTWARE")</f>
        <v xml:space="preserve">          4185 - NON-TAXABLE SALES-SOFTWARE</v>
      </c>
      <c r="C60" s="11"/>
      <c r="D60" s="2">
        <f t="shared" si="11"/>
        <v>0</v>
      </c>
      <c r="E60" s="2"/>
      <c r="F60" s="19"/>
      <c r="G60" s="2"/>
      <c r="H60" s="2">
        <f>--4610.75</f>
        <v>4610.75</v>
      </c>
      <c r="I60" s="2"/>
      <c r="J60" s="19"/>
      <c r="K60" s="2"/>
      <c r="L60" s="2">
        <f t="shared" si="0"/>
        <v>-4610.75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--10798.49</f>
        <v>10798.49</v>
      </c>
      <c r="U60" s="2"/>
      <c r="V60" s="19"/>
      <c r="W60" s="2"/>
      <c r="X60" s="2">
        <f t="shared" si="2"/>
        <v>-10798.49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"4186", " - ", "NON-TAXABLE SALES-COMPUTER SUP")</f>
        <v xml:space="preserve">          4186 - NON-TAXABLE SALES-COMPUTER SUP</v>
      </c>
      <c r="C61" s="11"/>
      <c r="D61" s="2">
        <f t="shared" si="11"/>
        <v>0</v>
      </c>
      <c r="E61" s="2"/>
      <c r="F61" s="19"/>
      <c r="G61" s="2"/>
      <c r="H61" s="2">
        <f>--257.95</f>
        <v>257.95</v>
      </c>
      <c r="I61" s="2"/>
      <c r="J61" s="19"/>
      <c r="K61" s="2"/>
      <c r="L61" s="2">
        <f t="shared" si="0"/>
        <v>-257.95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--412.9</f>
        <v>412.9</v>
      </c>
      <c r="U61" s="2"/>
      <c r="V61" s="19"/>
      <c r="W61" s="2"/>
      <c r="X61" s="2">
        <f t="shared" si="2"/>
        <v>-412.9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"4200", " - ", "TAXABLE RETURNS")</f>
        <v xml:space="preserve">          4200 - TAXABLE RETURNS</v>
      </c>
      <c r="C62" s="11"/>
      <c r="D62" s="2">
        <f>-52638.54</f>
        <v>-52638.54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-52638.54</v>
      </c>
      <c r="M62" s="2"/>
      <c r="N62" s="19">
        <f t="shared" si="1"/>
        <v>0</v>
      </c>
      <c r="O62" s="11"/>
      <c r="P62" s="2">
        <f>-85423.75</f>
        <v>-85423.75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-85423.75</v>
      </c>
      <c r="Y62" s="2"/>
      <c r="Z62" s="19">
        <f t="shared" si="3"/>
        <v>0</v>
      </c>
    </row>
    <row r="63" spans="1:26" s="24" customFormat="1" hidden="1" outlineLevel="1" x14ac:dyDescent="0.3">
      <c r="A63" s="44"/>
      <c r="B63" s="11" t="str">
        <f>CONCATENATE("          ", "4201", " - ", "SALES RETURN TAXABLE-NEW TEXT")</f>
        <v xml:space="preserve">          4201 - SALES RETURN TAXABLE-NEW TEXT</v>
      </c>
      <c r="C63" s="11"/>
      <c r="D63" s="2">
        <f t="shared" ref="D63:D78" si="13">0</f>
        <v>0</v>
      </c>
      <c r="E63" s="2"/>
      <c r="F63" s="19"/>
      <c r="G63" s="2"/>
      <c r="H63" s="2">
        <f>-18222.39</f>
        <v>-18222.39</v>
      </c>
      <c r="I63" s="2"/>
      <c r="J63" s="19"/>
      <c r="K63" s="2"/>
      <c r="L63" s="2">
        <f t="shared" si="0"/>
        <v>18222.39</v>
      </c>
      <c r="M63" s="2"/>
      <c r="N63" s="19">
        <f t="shared" si="1"/>
        <v>-1</v>
      </c>
      <c r="O63" s="11"/>
      <c r="P63" s="2">
        <f t="shared" ref="P63:P78" si="14">0</f>
        <v>0</v>
      </c>
      <c r="Q63" s="2"/>
      <c r="R63" s="19"/>
      <c r="S63" s="2"/>
      <c r="T63" s="2">
        <f>-18855.79</f>
        <v>-18855.79</v>
      </c>
      <c r="U63" s="2"/>
      <c r="V63" s="19"/>
      <c r="W63" s="2"/>
      <c r="X63" s="2">
        <f t="shared" si="2"/>
        <v>18855.79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"4202", " - ", "SALES RETURN TAXABLE-USED TEXT")</f>
        <v xml:space="preserve">          4202 - SALES RETURN TAXABLE-USED TEXT</v>
      </c>
      <c r="C64" s="11"/>
      <c r="D64" s="2">
        <f t="shared" si="13"/>
        <v>0</v>
      </c>
      <c r="E64" s="2"/>
      <c r="F64" s="19"/>
      <c r="G64" s="2"/>
      <c r="H64" s="2">
        <f>-8869.4</f>
        <v>-8869.4</v>
      </c>
      <c r="I64" s="2"/>
      <c r="J64" s="19"/>
      <c r="K64" s="2"/>
      <c r="L64" s="2">
        <f t="shared" si="0"/>
        <v>8869.4</v>
      </c>
      <c r="M64" s="2"/>
      <c r="N64" s="19">
        <f t="shared" si="1"/>
        <v>-1</v>
      </c>
      <c r="O64" s="11"/>
      <c r="P64" s="2">
        <f t="shared" si="14"/>
        <v>0</v>
      </c>
      <c r="Q64" s="2"/>
      <c r="R64" s="19"/>
      <c r="S64" s="2"/>
      <c r="T64" s="2">
        <f>-9047.75</f>
        <v>-9047.75</v>
      </c>
      <c r="U64" s="2"/>
      <c r="V64" s="19"/>
      <c r="W64" s="2"/>
      <c r="X64" s="2">
        <f t="shared" si="2"/>
        <v>9047.75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"4204", " - ", "SALES RETURN TAXABLE-DIGITAL T")</f>
        <v xml:space="preserve">          4204 - SALES RETURN TAXABLE-DIGITAL T</v>
      </c>
      <c r="C65" s="11"/>
      <c r="D65" s="2">
        <f t="shared" si="13"/>
        <v>0</v>
      </c>
      <c r="E65" s="2"/>
      <c r="F65" s="19"/>
      <c r="G65" s="2"/>
      <c r="H65" s="2">
        <f>-1141.08</f>
        <v>-1141.08</v>
      </c>
      <c r="I65" s="2"/>
      <c r="J65" s="19"/>
      <c r="K65" s="2"/>
      <c r="L65" s="2">
        <f t="shared" si="0"/>
        <v>1141.08</v>
      </c>
      <c r="M65" s="2"/>
      <c r="N65" s="19">
        <f t="shared" si="1"/>
        <v>-1</v>
      </c>
      <c r="O65" s="11"/>
      <c r="P65" s="2">
        <f t="shared" si="14"/>
        <v>0</v>
      </c>
      <c r="Q65" s="2"/>
      <c r="R65" s="19"/>
      <c r="S65" s="2"/>
      <c r="T65" s="2">
        <f>-1141.08</f>
        <v>-1141.08</v>
      </c>
      <c r="U65" s="2"/>
      <c r="V65" s="19"/>
      <c r="W65" s="2"/>
      <c r="X65" s="2">
        <f t="shared" si="2"/>
        <v>1141.08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"4226", " - ", "SALES RETURN TAXABLE-WRITING I")</f>
        <v xml:space="preserve">          4226 - SALES RETURN TAXABLE-WRITING I</v>
      </c>
      <c r="C66" s="11"/>
      <c r="D66" s="2">
        <f t="shared" si="13"/>
        <v>0</v>
      </c>
      <c r="E66" s="2"/>
      <c r="F66" s="19"/>
      <c r="G66" s="2"/>
      <c r="H66" s="2">
        <f>0</f>
        <v>0</v>
      </c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 t="shared" si="14"/>
        <v>0</v>
      </c>
      <c r="Q66" s="2"/>
      <c r="R66" s="19"/>
      <c r="S66" s="2"/>
      <c r="T66" s="2">
        <f>-6.38</f>
        <v>-6.38</v>
      </c>
      <c r="U66" s="2"/>
      <c r="V66" s="19"/>
      <c r="W66" s="2"/>
      <c r="X66" s="2">
        <f t="shared" si="2"/>
        <v>6.38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"4227", " - ", "SALES RETURN TAXABLE-SCHOOL SU")</f>
        <v xml:space="preserve">          4227 - SALES RETURN TAXABLE-SCHOOL SU</v>
      </c>
      <c r="C67" s="11"/>
      <c r="D67" s="2">
        <f t="shared" si="13"/>
        <v>0</v>
      </c>
      <c r="E67" s="2"/>
      <c r="F67" s="19"/>
      <c r="G67" s="2"/>
      <c r="H67" s="2">
        <f>-359.61</f>
        <v>-359.61</v>
      </c>
      <c r="I67" s="2"/>
      <c r="J67" s="19"/>
      <c r="K67" s="2"/>
      <c r="L67" s="2">
        <f t="shared" si="0"/>
        <v>359.61</v>
      </c>
      <c r="M67" s="2"/>
      <c r="N67" s="19">
        <f t="shared" si="1"/>
        <v>-1</v>
      </c>
      <c r="O67" s="11"/>
      <c r="P67" s="2">
        <f t="shared" si="14"/>
        <v>0</v>
      </c>
      <c r="Q67" s="2"/>
      <c r="R67" s="19"/>
      <c r="S67" s="2"/>
      <c r="T67" s="2">
        <f>-416.38</f>
        <v>-416.38</v>
      </c>
      <c r="U67" s="2"/>
      <c r="V67" s="19"/>
      <c r="W67" s="2"/>
      <c r="X67" s="2">
        <f t="shared" si="2"/>
        <v>416.38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"4228", " - ", "SALES RETURN TAXABLE-ART/TECH")</f>
        <v xml:space="preserve">          4228 - SALES RETURN TAXABLE-ART/TECH</v>
      </c>
      <c r="C68" s="11"/>
      <c r="D68" s="2">
        <f t="shared" si="13"/>
        <v>0</v>
      </c>
      <c r="E68" s="2"/>
      <c r="F68" s="19"/>
      <c r="G68" s="2"/>
      <c r="H68" s="2">
        <f>-164.44</f>
        <v>-164.44</v>
      </c>
      <c r="I68" s="2"/>
      <c r="J68" s="19"/>
      <c r="K68" s="2"/>
      <c r="L68" s="2">
        <f t="shared" si="0"/>
        <v>164.44</v>
      </c>
      <c r="M68" s="2"/>
      <c r="N68" s="19">
        <f t="shared" si="1"/>
        <v>-1</v>
      </c>
      <c r="O68" s="11"/>
      <c r="P68" s="2">
        <f t="shared" si="14"/>
        <v>0</v>
      </c>
      <c r="Q68" s="2"/>
      <c r="R68" s="19"/>
      <c r="S68" s="2"/>
      <c r="T68" s="2">
        <f>-164.44</f>
        <v>-164.44</v>
      </c>
      <c r="U68" s="2"/>
      <c r="V68" s="19"/>
      <c r="W68" s="2"/>
      <c r="X68" s="2">
        <f t="shared" si="2"/>
        <v>164.44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"4240", " - ", "SALES RETURN TAXABLE-LOGO CLOT")</f>
        <v xml:space="preserve">          4240 - SALES RETURN TAXABLE-LOGO CLOT</v>
      </c>
      <c r="C69" s="11"/>
      <c r="D69" s="2">
        <f t="shared" si="13"/>
        <v>0</v>
      </c>
      <c r="E69" s="2"/>
      <c r="F69" s="19"/>
      <c r="G69" s="2"/>
      <c r="H69" s="2">
        <f>-4788.72</f>
        <v>-4788.72</v>
      </c>
      <c r="I69" s="2"/>
      <c r="J69" s="19"/>
      <c r="K69" s="2"/>
      <c r="L69" s="2">
        <f t="shared" si="0"/>
        <v>4788.72</v>
      </c>
      <c r="M69" s="2"/>
      <c r="N69" s="19">
        <f t="shared" si="1"/>
        <v>-1</v>
      </c>
      <c r="O69" s="11"/>
      <c r="P69" s="2">
        <f t="shared" si="14"/>
        <v>0</v>
      </c>
      <c r="Q69" s="2"/>
      <c r="R69" s="19"/>
      <c r="S69" s="2"/>
      <c r="T69" s="2">
        <f>-8156.82</f>
        <v>-8156.82</v>
      </c>
      <c r="U69" s="2"/>
      <c r="V69" s="19"/>
      <c r="W69" s="2"/>
      <c r="X69" s="2">
        <f t="shared" si="2"/>
        <v>8156.82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"4241", " - ", "SALES RETURN TAXABLE-LOGO GIFT")</f>
        <v xml:space="preserve">          4241 - SALES RETURN TAXABLE-LOGO GIFT</v>
      </c>
      <c r="C70" s="11"/>
      <c r="D70" s="2">
        <f t="shared" si="13"/>
        <v>0</v>
      </c>
      <c r="E70" s="2"/>
      <c r="F70" s="19"/>
      <c r="G70" s="2"/>
      <c r="H70" s="2">
        <f>-986.21</f>
        <v>-986.21</v>
      </c>
      <c r="I70" s="2"/>
      <c r="J70" s="19"/>
      <c r="K70" s="2"/>
      <c r="L70" s="2">
        <f t="shared" si="0"/>
        <v>986.21</v>
      </c>
      <c r="M70" s="2"/>
      <c r="N70" s="19">
        <f t="shared" si="1"/>
        <v>-1</v>
      </c>
      <c r="O70" s="11"/>
      <c r="P70" s="2">
        <f t="shared" si="14"/>
        <v>0</v>
      </c>
      <c r="Q70" s="2"/>
      <c r="R70" s="19"/>
      <c r="S70" s="2"/>
      <c r="T70" s="2">
        <f>-1328.19</f>
        <v>-1328.19</v>
      </c>
      <c r="U70" s="2"/>
      <c r="V70" s="19"/>
      <c r="W70" s="2"/>
      <c r="X70" s="2">
        <f t="shared" si="2"/>
        <v>1328.19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"4242", " - ", "SALES RETURN TAXABLE-EVERYDAY")</f>
        <v xml:space="preserve">          4242 - SALES RETURN TAXABLE-EVERYDAY</v>
      </c>
      <c r="C71" s="11"/>
      <c r="D71" s="2">
        <f t="shared" si="13"/>
        <v>0</v>
      </c>
      <c r="E71" s="2"/>
      <c r="F71" s="19"/>
      <c r="G71" s="2"/>
      <c r="H71" s="2">
        <f>-470.53</f>
        <v>-470.53</v>
      </c>
      <c r="I71" s="2"/>
      <c r="J71" s="19"/>
      <c r="K71" s="2"/>
      <c r="L71" s="2">
        <f t="shared" si="0"/>
        <v>470.53</v>
      </c>
      <c r="M71" s="2"/>
      <c r="N71" s="19">
        <f t="shared" si="1"/>
        <v>-1</v>
      </c>
      <c r="O71" s="11"/>
      <c r="P71" s="2">
        <f t="shared" si="14"/>
        <v>0</v>
      </c>
      <c r="Q71" s="2"/>
      <c r="R71" s="19"/>
      <c r="S71" s="2"/>
      <c r="T71" s="2">
        <f>-649.49</f>
        <v>-649.49</v>
      </c>
      <c r="U71" s="2"/>
      <c r="V71" s="19"/>
      <c r="W71" s="2"/>
      <c r="X71" s="2">
        <f t="shared" si="2"/>
        <v>649.49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"4243", " - ", "SALES RETURN TAXABLE-CARDS")</f>
        <v xml:space="preserve">          4243 - SALES RETURN TAXABLE-CARDS</v>
      </c>
      <c r="C72" s="11"/>
      <c r="D72" s="2">
        <f t="shared" si="13"/>
        <v>0</v>
      </c>
      <c r="E72" s="2"/>
      <c r="F72" s="19"/>
      <c r="G72" s="2"/>
      <c r="H72" s="2">
        <f>-93.43</f>
        <v>-93.43</v>
      </c>
      <c r="I72" s="2"/>
      <c r="J72" s="19"/>
      <c r="K72" s="2"/>
      <c r="L72" s="2">
        <f t="shared" si="0"/>
        <v>93.43</v>
      </c>
      <c r="M72" s="2"/>
      <c r="N72" s="19">
        <f t="shared" si="1"/>
        <v>-1</v>
      </c>
      <c r="O72" s="11"/>
      <c r="P72" s="2">
        <f t="shared" si="14"/>
        <v>0</v>
      </c>
      <c r="Q72" s="2"/>
      <c r="R72" s="19"/>
      <c r="S72" s="2"/>
      <c r="T72" s="2">
        <f>-93.43</f>
        <v>-93.43</v>
      </c>
      <c r="U72" s="2"/>
      <c r="V72" s="19"/>
      <c r="W72" s="2"/>
      <c r="X72" s="2">
        <f t="shared" si="2"/>
        <v>93.43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"4244", " - ", "SALES RETURN TAXABLE-ACCESSORI")</f>
        <v xml:space="preserve">          4244 - SALES RETURN TAXABLE-ACCESSORI</v>
      </c>
      <c r="C73" s="11"/>
      <c r="D73" s="2">
        <f t="shared" si="13"/>
        <v>0</v>
      </c>
      <c r="E73" s="2"/>
      <c r="F73" s="19"/>
      <c r="G73" s="2"/>
      <c r="H73" s="2">
        <f>-350.99</f>
        <v>-350.99</v>
      </c>
      <c r="I73" s="2"/>
      <c r="J73" s="19"/>
      <c r="K73" s="2"/>
      <c r="L73" s="2">
        <f t="shared" si="0"/>
        <v>350.99</v>
      </c>
      <c r="M73" s="2"/>
      <c r="N73" s="19">
        <f t="shared" si="1"/>
        <v>-1</v>
      </c>
      <c r="O73" s="11"/>
      <c r="P73" s="2">
        <f t="shared" si="14"/>
        <v>0</v>
      </c>
      <c r="Q73" s="2"/>
      <c r="R73" s="19"/>
      <c r="S73" s="2"/>
      <c r="T73" s="2">
        <f>-350.99</f>
        <v>-350.99</v>
      </c>
      <c r="U73" s="2"/>
      <c r="V73" s="19"/>
      <c r="W73" s="2"/>
      <c r="X73" s="2">
        <f t="shared" si="2"/>
        <v>350.99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"4245", " - ", "SALES RETURN TAXABLE-SPECIAL O")</f>
        <v xml:space="preserve">          4245 - SALES RETURN TAXABLE-SPECIAL O</v>
      </c>
      <c r="C74" s="11"/>
      <c r="D74" s="2">
        <f t="shared" si="13"/>
        <v>0</v>
      </c>
      <c r="E74" s="2"/>
      <c r="F74" s="19"/>
      <c r="G74" s="2"/>
      <c r="H74" s="2">
        <f>-57.96</f>
        <v>-57.96</v>
      </c>
      <c r="I74" s="2"/>
      <c r="J74" s="19"/>
      <c r="K74" s="2"/>
      <c r="L74" s="2">
        <f t="shared" si="0"/>
        <v>57.96</v>
      </c>
      <c r="M74" s="2"/>
      <c r="N74" s="19">
        <f t="shared" si="1"/>
        <v>-1</v>
      </c>
      <c r="O74" s="11"/>
      <c r="P74" s="2">
        <f t="shared" si="14"/>
        <v>0</v>
      </c>
      <c r="Q74" s="2"/>
      <c r="R74" s="19"/>
      <c r="S74" s="2"/>
      <c r="T74" s="2">
        <f>-1178.96</f>
        <v>-1178.96</v>
      </c>
      <c r="U74" s="2"/>
      <c r="V74" s="19"/>
      <c r="W74" s="2"/>
      <c r="X74" s="2">
        <f t="shared" si="2"/>
        <v>1178.96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"4281", " - ", "SALES RETURN TAXABLE-ELECTRONI")</f>
        <v xml:space="preserve">          4281 - SALES RETURN TAXABLE-ELECTRONI</v>
      </c>
      <c r="C75" s="11"/>
      <c r="D75" s="2">
        <f t="shared" si="13"/>
        <v>0</v>
      </c>
      <c r="E75" s="2"/>
      <c r="F75" s="19"/>
      <c r="G75" s="2"/>
      <c r="H75" s="2">
        <f>-7424.23</f>
        <v>-7424.23</v>
      </c>
      <c r="I75" s="2"/>
      <c r="J75" s="19"/>
      <c r="K75" s="2"/>
      <c r="L75" s="2">
        <f t="shared" si="0"/>
        <v>7424.23</v>
      </c>
      <c r="M75" s="2"/>
      <c r="N75" s="19">
        <f t="shared" si="1"/>
        <v>-1</v>
      </c>
      <c r="O75" s="11"/>
      <c r="P75" s="2">
        <f t="shared" si="14"/>
        <v>0</v>
      </c>
      <c r="Q75" s="2"/>
      <c r="R75" s="19"/>
      <c r="S75" s="2"/>
      <c r="T75" s="2">
        <f>-13716.22</f>
        <v>-13716.22</v>
      </c>
      <c r="U75" s="2"/>
      <c r="V75" s="19"/>
      <c r="W75" s="2"/>
      <c r="X75" s="2">
        <f t="shared" si="2"/>
        <v>13716.22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"4282", " - ", "SALES RETURN TAXABLE-COMPUTER")</f>
        <v xml:space="preserve">          4282 - SALES RETURN TAXABLE-COMPUTER</v>
      </c>
      <c r="C76" s="11"/>
      <c r="D76" s="2">
        <f t="shared" si="13"/>
        <v>0</v>
      </c>
      <c r="E76" s="2"/>
      <c r="F76" s="19"/>
      <c r="G76" s="2"/>
      <c r="H76" s="2">
        <f>-15442</f>
        <v>-15442</v>
      </c>
      <c r="I76" s="2"/>
      <c r="J76" s="19"/>
      <c r="K76" s="2"/>
      <c r="L76" s="2">
        <f t="shared" si="0"/>
        <v>15442</v>
      </c>
      <c r="M76" s="2"/>
      <c r="N76" s="19">
        <f t="shared" si="1"/>
        <v>-1</v>
      </c>
      <c r="O76" s="11"/>
      <c r="P76" s="2">
        <f t="shared" si="14"/>
        <v>0</v>
      </c>
      <c r="Q76" s="2"/>
      <c r="R76" s="19"/>
      <c r="S76" s="2"/>
      <c r="T76" s="2">
        <f>-33649</f>
        <v>-33649</v>
      </c>
      <c r="U76" s="2"/>
      <c r="V76" s="19"/>
      <c r="W76" s="2"/>
      <c r="X76" s="2">
        <f t="shared" si="2"/>
        <v>33649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"4283", " - ", "SALES RETURN TAXABLE-COMPUTER")</f>
        <v xml:space="preserve">          4283 - SALES RETURN TAXABLE-COMPUTER</v>
      </c>
      <c r="C77" s="11"/>
      <c r="D77" s="2">
        <f t="shared" si="13"/>
        <v>0</v>
      </c>
      <c r="E77" s="2"/>
      <c r="F77" s="19"/>
      <c r="G77" s="2"/>
      <c r="H77" s="2">
        <f>-699.9</f>
        <v>-699.9</v>
      </c>
      <c r="I77" s="2"/>
      <c r="J77" s="19"/>
      <c r="K77" s="2"/>
      <c r="L77" s="2">
        <f t="shared" si="0"/>
        <v>699.9</v>
      </c>
      <c r="M77" s="2"/>
      <c r="N77" s="19">
        <f t="shared" si="1"/>
        <v>-1</v>
      </c>
      <c r="O77" s="11"/>
      <c r="P77" s="2">
        <f t="shared" si="14"/>
        <v>0</v>
      </c>
      <c r="Q77" s="2"/>
      <c r="R77" s="19"/>
      <c r="S77" s="2"/>
      <c r="T77" s="2">
        <f>-1518.83</f>
        <v>-1518.83</v>
      </c>
      <c r="U77" s="2"/>
      <c r="V77" s="19"/>
      <c r="W77" s="2"/>
      <c r="X77" s="2">
        <f t="shared" si="2"/>
        <v>1518.83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"4286", " - ", "SALES RETURN TAXABLE-COMPUTER")</f>
        <v xml:space="preserve">          4286 - SALES RETURN TAXABLE-COMPUTER</v>
      </c>
      <c r="C78" s="11"/>
      <c r="D78" s="2">
        <f t="shared" si="13"/>
        <v>0</v>
      </c>
      <c r="E78" s="2"/>
      <c r="F78" s="19"/>
      <c r="G78" s="2"/>
      <c r="H78" s="2">
        <f>-153.96</f>
        <v>-153.96</v>
      </c>
      <c r="I78" s="2"/>
      <c r="J78" s="19"/>
      <c r="K78" s="2"/>
      <c r="L78" s="2">
        <f t="shared" si="0"/>
        <v>153.96</v>
      </c>
      <c r="M78" s="2"/>
      <c r="N78" s="19">
        <f t="shared" si="1"/>
        <v>-1</v>
      </c>
      <c r="O78" s="11"/>
      <c r="P78" s="2">
        <f t="shared" si="14"/>
        <v>0</v>
      </c>
      <c r="Q78" s="2"/>
      <c r="R78" s="19"/>
      <c r="S78" s="2"/>
      <c r="T78" s="2">
        <f>-153.96</f>
        <v>-153.96</v>
      </c>
      <c r="U78" s="2"/>
      <c r="V78" s="19"/>
      <c r="W78" s="2"/>
      <c r="X78" s="2">
        <f t="shared" si="2"/>
        <v>153.96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"4300", " - ", "NON-TAX RETURNS")</f>
        <v xml:space="preserve">          4300 - NON-TAX RETURNS</v>
      </c>
      <c r="C79" s="11"/>
      <c r="D79" s="2">
        <f>-16535.91</f>
        <v>-16535.91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-16535.91</v>
      </c>
      <c r="M79" s="2"/>
      <c r="N79" s="19">
        <f t="shared" si="1"/>
        <v>0</v>
      </c>
      <c r="O79" s="11"/>
      <c r="P79" s="2">
        <f>-18037.49</f>
        <v>-18037.490000000002</v>
      </c>
      <c r="Q79" s="2"/>
      <c r="R79" s="19"/>
      <c r="S79" s="2"/>
      <c r="T79" s="2">
        <f>0</f>
        <v>0</v>
      </c>
      <c r="U79" s="2"/>
      <c r="V79" s="19"/>
      <c r="W79" s="2"/>
      <c r="X79" s="2">
        <f t="shared" si="2"/>
        <v>-18037.490000000002</v>
      </c>
      <c r="Y79" s="2"/>
      <c r="Z79" s="19">
        <f t="shared" si="3"/>
        <v>0</v>
      </c>
    </row>
    <row r="80" spans="1:26" s="24" customFormat="1" hidden="1" outlineLevel="1" x14ac:dyDescent="0.3">
      <c r="A80" s="44"/>
      <c r="B80" s="11" t="str">
        <f>CONCATENATE("          ", "4301", " - ", "SALES RETURN NON TAXABLE-NEW T")</f>
        <v xml:space="preserve">          4301 - SALES RETURN NON TAXABLE-NEW T</v>
      </c>
      <c r="C80" s="11"/>
      <c r="D80" s="2">
        <f t="shared" ref="D80:D86" si="15">0</f>
        <v>0</v>
      </c>
      <c r="E80" s="2"/>
      <c r="F80" s="19"/>
      <c r="G80" s="2"/>
      <c r="H80" s="2">
        <f>-20.25</f>
        <v>-20.25</v>
      </c>
      <c r="I80" s="2"/>
      <c r="J80" s="19"/>
      <c r="K80" s="2"/>
      <c r="L80" s="2">
        <f t="shared" si="0"/>
        <v>20.25</v>
      </c>
      <c r="M80" s="2"/>
      <c r="N80" s="19">
        <f t="shared" si="1"/>
        <v>-1</v>
      </c>
      <c r="O80" s="11"/>
      <c r="P80" s="2">
        <f t="shared" ref="P80:P86" si="16">0</f>
        <v>0</v>
      </c>
      <c r="Q80" s="2"/>
      <c r="R80" s="19"/>
      <c r="S80" s="2"/>
      <c r="T80" s="2">
        <f>-20.25</f>
        <v>-20.25</v>
      </c>
      <c r="U80" s="2"/>
      <c r="V80" s="19"/>
      <c r="W80" s="2"/>
      <c r="X80" s="2">
        <f t="shared" si="2"/>
        <v>20.25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"4302", " - ", "SALES RETURN NON TAXABLE-TEXT")</f>
        <v xml:space="preserve">          4302 - SALES RETURN NON TAXABLE-TEXT</v>
      </c>
      <c r="C81" s="11"/>
      <c r="D81" s="2">
        <f t="shared" si="15"/>
        <v>0</v>
      </c>
      <c r="E81" s="2"/>
      <c r="F81" s="19"/>
      <c r="G81" s="2"/>
      <c r="H81" s="2">
        <f>-346.17</f>
        <v>-346.17</v>
      </c>
      <c r="I81" s="2"/>
      <c r="J81" s="19"/>
      <c r="K81" s="2"/>
      <c r="L81" s="2">
        <f t="shared" si="0"/>
        <v>346.17</v>
      </c>
      <c r="M81" s="2"/>
      <c r="N81" s="19">
        <f t="shared" si="1"/>
        <v>-1</v>
      </c>
      <c r="O81" s="11"/>
      <c r="P81" s="2">
        <f t="shared" si="16"/>
        <v>0</v>
      </c>
      <c r="Q81" s="2"/>
      <c r="R81" s="19"/>
      <c r="S81" s="2"/>
      <c r="T81" s="2">
        <f>-409.84</f>
        <v>-409.84</v>
      </c>
      <c r="U81" s="2"/>
      <c r="V81" s="19"/>
      <c r="W81" s="2"/>
      <c r="X81" s="2">
        <f t="shared" si="2"/>
        <v>409.84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"4304", " - ", "SALES RETURN NON TAXABLE-DIGIT")</f>
        <v xml:space="preserve">          4304 - SALES RETURN NON TAXABLE-DIGIT</v>
      </c>
      <c r="C82" s="11"/>
      <c r="D82" s="2">
        <f t="shared" si="15"/>
        <v>0</v>
      </c>
      <c r="E82" s="2"/>
      <c r="F82" s="19"/>
      <c r="G82" s="2"/>
      <c r="H82" s="2">
        <f>-5500.68</f>
        <v>-5500.68</v>
      </c>
      <c r="I82" s="2"/>
      <c r="J82" s="19"/>
      <c r="K82" s="2"/>
      <c r="L82" s="2">
        <f t="shared" si="0"/>
        <v>5500.68</v>
      </c>
      <c r="M82" s="2"/>
      <c r="N82" s="19">
        <f t="shared" si="1"/>
        <v>-1</v>
      </c>
      <c r="O82" s="11"/>
      <c r="P82" s="2">
        <f t="shared" si="16"/>
        <v>0</v>
      </c>
      <c r="Q82" s="2"/>
      <c r="R82" s="19"/>
      <c r="S82" s="2"/>
      <c r="T82" s="2">
        <f>-5952.73</f>
        <v>-5952.73</v>
      </c>
      <c r="U82" s="2"/>
      <c r="V82" s="19"/>
      <c r="W82" s="2"/>
      <c r="X82" s="2">
        <f t="shared" si="2"/>
        <v>5952.73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"4340", " - ", "SALES RETURN NON TAXABLE-LOGO")</f>
        <v xml:space="preserve">          4340 - SALES RETURN NON TAXABLE-LOGO</v>
      </c>
      <c r="C83" s="11"/>
      <c r="D83" s="2">
        <f t="shared" si="15"/>
        <v>0</v>
      </c>
      <c r="E83" s="2"/>
      <c r="F83" s="19"/>
      <c r="G83" s="2"/>
      <c r="H83" s="2">
        <f>-69.9</f>
        <v>-69.900000000000006</v>
      </c>
      <c r="I83" s="2"/>
      <c r="J83" s="19"/>
      <c r="K83" s="2"/>
      <c r="L83" s="2">
        <f t="shared" si="0"/>
        <v>69.900000000000006</v>
      </c>
      <c r="M83" s="2"/>
      <c r="N83" s="19">
        <f t="shared" si="1"/>
        <v>-1</v>
      </c>
      <c r="O83" s="11"/>
      <c r="P83" s="2">
        <f t="shared" si="16"/>
        <v>0</v>
      </c>
      <c r="Q83" s="2"/>
      <c r="R83" s="19"/>
      <c r="S83" s="2"/>
      <c r="T83" s="2">
        <f>-504.14</f>
        <v>-504.14</v>
      </c>
      <c r="U83" s="2"/>
      <c r="V83" s="19"/>
      <c r="W83" s="2"/>
      <c r="X83" s="2">
        <f t="shared" si="2"/>
        <v>504.14</v>
      </c>
      <c r="Y83" s="2"/>
      <c r="Z83" s="19">
        <f t="shared" si="3"/>
        <v>-1</v>
      </c>
    </row>
    <row r="84" spans="1:26" s="24" customFormat="1" hidden="1" outlineLevel="1" x14ac:dyDescent="0.3">
      <c r="A84" s="44"/>
      <c r="B84" s="11" t="str">
        <f>CONCATENATE("          ", "4341", " - ", "SALES RETURN NON TAXABLE-LOGO")</f>
        <v xml:space="preserve">          4341 - SALES RETURN NON TAXABLE-LOGO</v>
      </c>
      <c r="C84" s="11"/>
      <c r="D84" s="2">
        <f t="shared" si="15"/>
        <v>0</v>
      </c>
      <c r="E84" s="2"/>
      <c r="F84" s="19"/>
      <c r="G84" s="2"/>
      <c r="H84" s="2">
        <f>0</f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 t="shared" si="16"/>
        <v>0</v>
      </c>
      <c r="Q84" s="2"/>
      <c r="R84" s="19"/>
      <c r="S84" s="2"/>
      <c r="T84" s="2">
        <f>-16.95</f>
        <v>-16.95</v>
      </c>
      <c r="U84" s="2"/>
      <c r="V84" s="19"/>
      <c r="W84" s="2"/>
      <c r="X84" s="2">
        <f t="shared" si="2"/>
        <v>16.95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"4342", " - ", "SALES RETURN NON TAXABLE-EVERY")</f>
        <v xml:space="preserve">          4342 - SALES RETURN NON TAXABLE-EVERY</v>
      </c>
      <c r="C85" s="11"/>
      <c r="D85" s="2">
        <f t="shared" si="15"/>
        <v>0</v>
      </c>
      <c r="E85" s="2"/>
      <c r="F85" s="19"/>
      <c r="G85" s="2"/>
      <c r="H85" s="2">
        <f>-13.9</f>
        <v>-13.9</v>
      </c>
      <c r="I85" s="2"/>
      <c r="J85" s="19"/>
      <c r="K85" s="2"/>
      <c r="L85" s="2">
        <f t="shared" si="0"/>
        <v>13.9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-93.75</f>
        <v>-93.75</v>
      </c>
      <c r="U85" s="2"/>
      <c r="V85" s="19"/>
      <c r="W85" s="2"/>
      <c r="X85" s="2">
        <f t="shared" si="2"/>
        <v>93.75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"4381", " - ", "SALES RETURN NON TAXABLE-ELECT")</f>
        <v xml:space="preserve">          4381 - SALES RETURN NON TAXABLE-ELECT</v>
      </c>
      <c r="C86" s="11"/>
      <c r="D86" s="2">
        <f t="shared" si="15"/>
        <v>0</v>
      </c>
      <c r="E86" s="2"/>
      <c r="F86" s="19"/>
      <c r="G86" s="2"/>
      <c r="H86" s="2">
        <f>-3625.2</f>
        <v>-3625.2</v>
      </c>
      <c r="I86" s="2"/>
      <c r="J86" s="19"/>
      <c r="K86" s="2"/>
      <c r="L86" s="2">
        <f t="shared" si="0"/>
        <v>3625.2</v>
      </c>
      <c r="M86" s="2"/>
      <c r="N86" s="19">
        <f t="shared" si="1"/>
        <v>-1</v>
      </c>
      <c r="O86" s="11"/>
      <c r="P86" s="2">
        <f t="shared" si="16"/>
        <v>0</v>
      </c>
      <c r="Q86" s="2"/>
      <c r="R86" s="19"/>
      <c r="S86" s="2"/>
      <c r="T86" s="2">
        <f>-5374.2</f>
        <v>-5374.2</v>
      </c>
      <c r="U86" s="2"/>
      <c r="V86" s="19"/>
      <c r="W86" s="2"/>
      <c r="X86" s="2">
        <f t="shared" si="2"/>
        <v>5374.2</v>
      </c>
      <c r="Y86" s="2"/>
      <c r="Z86" s="19">
        <f t="shared" si="3"/>
        <v>-1</v>
      </c>
    </row>
    <row r="87" spans="1:26" x14ac:dyDescent="0.3">
      <c r="A87" s="9"/>
      <c r="B87" s="10"/>
      <c r="C87" s="9"/>
      <c r="D87" s="3"/>
      <c r="E87" s="3"/>
      <c r="F87" s="6"/>
      <c r="G87" s="3"/>
      <c r="H87" s="3"/>
      <c r="I87" s="3"/>
      <c r="J87" s="6"/>
      <c r="K87" s="3"/>
      <c r="L87" s="3"/>
      <c r="M87" s="3"/>
      <c r="N87" s="6"/>
      <c r="P87" s="3"/>
      <c r="Q87" s="3"/>
      <c r="R87" s="6"/>
      <c r="S87" s="3"/>
      <c r="T87" s="3"/>
      <c r="U87" s="3"/>
      <c r="V87" s="6"/>
      <c r="W87" s="3"/>
      <c r="X87" s="3"/>
      <c r="Y87" s="3"/>
      <c r="Z87" s="6"/>
    </row>
    <row r="88" spans="1:26" s="23" customFormat="1" collapsed="1" x14ac:dyDescent="0.3">
      <c r="A88" s="10"/>
      <c r="B88" s="26" t="s">
        <v>256</v>
      </c>
      <c r="C88" s="10"/>
      <c r="D88" s="4">
        <f>SUM(OSRRefD16x_0)</f>
        <v>1284131.0999999999</v>
      </c>
      <c r="E88" s="4"/>
      <c r="F88" s="12">
        <f t="shared" ref="F88:F127" si="17">IF(D$12=0,0,D88/D$12)</f>
        <v>0.69181835165978123</v>
      </c>
      <c r="G88" s="4"/>
      <c r="H88" s="4">
        <f>SUM(OSRRefH16x_0)</f>
        <v>1559887.0600000003</v>
      </c>
      <c r="I88" s="4"/>
      <c r="J88" s="12">
        <f t="shared" ref="J88:J127" si="18">IF(H$12=0,0,H88/H$12)</f>
        <v>0.74680044056564576</v>
      </c>
      <c r="K88" s="4"/>
      <c r="L88" s="4">
        <f t="shared" ref="L88:L127" si="19">+D88-H88</f>
        <v>-275755.96000000043</v>
      </c>
      <c r="M88" s="4"/>
      <c r="N88" s="12">
        <f t="shared" ref="N88:N127" si="20">IF(H88=0,0,L88/H88)</f>
        <v>-0.1767794394037735</v>
      </c>
      <c r="O88" s="10"/>
      <c r="P88" s="4">
        <f>SUM(OSRRefP16x_0)</f>
        <v>1493924.01</v>
      </c>
      <c r="Q88" s="4"/>
      <c r="R88" s="12">
        <f t="shared" ref="R88:R127" si="21">IF(P$12=0,0,P88/P$12)</f>
        <v>0.68781901358660835</v>
      </c>
      <c r="S88" s="4"/>
      <c r="T88" s="4">
        <f>SUM(OSRRefT16x_0)</f>
        <v>1885238.3300000003</v>
      </c>
      <c r="U88" s="4"/>
      <c r="V88" s="12">
        <f t="shared" ref="V88:V127" si="22">IF(T$12=0,0,T88/T$12)</f>
        <v>0.74680811286017068</v>
      </c>
      <c r="W88" s="4"/>
      <c r="X88" s="4">
        <f t="shared" ref="X88:X127" si="23">+P88-T88</f>
        <v>-391314.3200000003</v>
      </c>
      <c r="Y88" s="4"/>
      <c r="Z88" s="12">
        <f t="shared" ref="Z88:Z127" si="24">IF(T88=0,0,X88/T88)</f>
        <v>-0.20756755990633832</v>
      </c>
    </row>
    <row r="89" spans="1:26" s="24" customFormat="1" hidden="1" outlineLevel="1" x14ac:dyDescent="0.3">
      <c r="A89" s="44"/>
      <c r="B89" s="11" t="str">
        <f>CONCATENATE("          ", "5000", " - ", "PURCHASES @ COST")</f>
        <v xml:space="preserve">          5000 - PURCHASES @ COST</v>
      </c>
      <c r="C89" s="11"/>
      <c r="D89" s="2">
        <v>785954.3</v>
      </c>
      <c r="E89" s="2"/>
      <c r="F89" s="19">
        <f t="shared" si="17"/>
        <v>0.42342842432981903</v>
      </c>
      <c r="G89" s="2"/>
      <c r="H89" s="2"/>
      <c r="I89" s="2"/>
      <c r="J89" s="19">
        <f t="shared" si="18"/>
        <v>0</v>
      </c>
      <c r="K89" s="2"/>
      <c r="L89" s="2">
        <f t="shared" si="19"/>
        <v>785954.3</v>
      </c>
      <c r="M89" s="2"/>
      <c r="N89" s="19">
        <f t="shared" si="20"/>
        <v>0</v>
      </c>
      <c r="O89" s="11"/>
      <c r="P89" s="2">
        <v>1228090.51</v>
      </c>
      <c r="Q89" s="2"/>
      <c r="R89" s="19">
        <f t="shared" si="21"/>
        <v>0.56542635202929414</v>
      </c>
      <c r="S89" s="2"/>
      <c r="T89" s="2"/>
      <c r="U89" s="2"/>
      <c r="V89" s="19">
        <f t="shared" si="22"/>
        <v>0</v>
      </c>
      <c r="W89" s="2"/>
      <c r="X89" s="2">
        <f t="shared" si="23"/>
        <v>1228090.51</v>
      </c>
      <c r="Y89" s="2"/>
      <c r="Z89" s="19">
        <f t="shared" si="24"/>
        <v>0</v>
      </c>
    </row>
    <row r="90" spans="1:26" s="24" customFormat="1" hidden="1" outlineLevel="1" x14ac:dyDescent="0.3">
      <c r="A90" s="44"/>
      <c r="B90" s="11" t="str">
        <f>CONCATENATE("          ", "5001", " - ", "PURCHASES @ COST-NEW TEXT")</f>
        <v xml:space="preserve">          5001 - PURCHASES @ COST-NEW TEXT</v>
      </c>
      <c r="C90" s="11"/>
      <c r="D90" s="2">
        <v>0</v>
      </c>
      <c r="E90" s="2"/>
      <c r="F90" s="19">
        <f t="shared" si="17"/>
        <v>0</v>
      </c>
      <c r="G90" s="2"/>
      <c r="H90" s="2">
        <v>538222.14</v>
      </c>
      <c r="I90" s="2"/>
      <c r="J90" s="19">
        <f t="shared" si="18"/>
        <v>0.25767540585546278</v>
      </c>
      <c r="K90" s="2"/>
      <c r="L90" s="2">
        <f t="shared" si="19"/>
        <v>-538222.14</v>
      </c>
      <c r="M90" s="2"/>
      <c r="N90" s="19">
        <f t="shared" si="20"/>
        <v>-1</v>
      </c>
      <c r="O90" s="11"/>
      <c r="P90" s="2">
        <v>0</v>
      </c>
      <c r="Q90" s="2"/>
      <c r="R90" s="19">
        <f t="shared" si="21"/>
        <v>0</v>
      </c>
      <c r="S90" s="2"/>
      <c r="T90" s="2">
        <v>691332.77</v>
      </c>
      <c r="U90" s="2"/>
      <c r="V90" s="19">
        <f t="shared" si="22"/>
        <v>0.27386082338040219</v>
      </c>
      <c r="W90" s="2"/>
      <c r="X90" s="2">
        <f t="shared" si="23"/>
        <v>-691332.77</v>
      </c>
      <c r="Y90" s="2"/>
      <c r="Z90" s="19">
        <f t="shared" si="24"/>
        <v>-1</v>
      </c>
    </row>
    <row r="91" spans="1:26" s="24" customFormat="1" hidden="1" outlineLevel="1" x14ac:dyDescent="0.3">
      <c r="A91" s="44"/>
      <c r="B91" s="11" t="str">
        <f>CONCATENATE("          ", "5002", " - ", "PURCHASES @ COST-USED TEXT")</f>
        <v xml:space="preserve">          5002 - PURCHASES @ COST-USED TEXT</v>
      </c>
      <c r="C91" s="11"/>
      <c r="D91" s="2">
        <v>0</v>
      </c>
      <c r="E91" s="2"/>
      <c r="F91" s="19">
        <f t="shared" si="17"/>
        <v>0</v>
      </c>
      <c r="G91" s="2"/>
      <c r="H91" s="2">
        <v>128042.67</v>
      </c>
      <c r="I91" s="2"/>
      <c r="J91" s="19">
        <f t="shared" si="18"/>
        <v>6.1300798512426646E-2</v>
      </c>
      <c r="K91" s="2"/>
      <c r="L91" s="2">
        <f t="shared" si="19"/>
        <v>-128042.67</v>
      </c>
      <c r="M91" s="2"/>
      <c r="N91" s="19">
        <f t="shared" si="20"/>
        <v>-1</v>
      </c>
      <c r="O91" s="11"/>
      <c r="P91" s="2">
        <v>0</v>
      </c>
      <c r="Q91" s="2"/>
      <c r="R91" s="19">
        <f t="shared" si="21"/>
        <v>0</v>
      </c>
      <c r="S91" s="2"/>
      <c r="T91" s="2">
        <v>188367.52</v>
      </c>
      <c r="U91" s="2"/>
      <c r="V91" s="19">
        <f t="shared" si="22"/>
        <v>7.4618890299854246E-2</v>
      </c>
      <c r="W91" s="2"/>
      <c r="X91" s="2">
        <f t="shared" si="23"/>
        <v>-188367.52</v>
      </c>
      <c r="Y91" s="2"/>
      <c r="Z91" s="19">
        <f t="shared" si="24"/>
        <v>-1</v>
      </c>
    </row>
    <row r="92" spans="1:26" s="24" customFormat="1" hidden="1" outlineLevel="1" x14ac:dyDescent="0.3">
      <c r="A92" s="44"/>
      <c r="B92" s="11" t="str">
        <f>CONCATENATE("          ", "5003", " - ", "PURCHASES @ COST-RENTAL TEXT")</f>
        <v xml:space="preserve">          5003 - PURCHASES @ COST-RENTAL TEXT</v>
      </c>
      <c r="C92" s="11"/>
      <c r="D92" s="2"/>
      <c r="E92" s="2"/>
      <c r="F92" s="19">
        <f t="shared" si="17"/>
        <v>0</v>
      </c>
      <c r="G92" s="2"/>
      <c r="H92" s="2">
        <v>58.8</v>
      </c>
      <c r="I92" s="2"/>
      <c r="J92" s="19">
        <f t="shared" si="18"/>
        <v>2.8150670026879997E-5</v>
      </c>
      <c r="K92" s="2"/>
      <c r="L92" s="2">
        <f t="shared" si="19"/>
        <v>-58.8</v>
      </c>
      <c r="M92" s="2"/>
      <c r="N92" s="19">
        <f t="shared" si="20"/>
        <v>-1</v>
      </c>
      <c r="O92" s="11"/>
      <c r="P92" s="2"/>
      <c r="Q92" s="2"/>
      <c r="R92" s="19">
        <f t="shared" si="21"/>
        <v>0</v>
      </c>
      <c r="S92" s="2"/>
      <c r="T92" s="2">
        <v>-11867.84</v>
      </c>
      <c r="U92" s="2"/>
      <c r="V92" s="19">
        <f t="shared" si="22"/>
        <v>-4.7012619322918427E-3</v>
      </c>
      <c r="W92" s="2"/>
      <c r="X92" s="2">
        <f t="shared" si="23"/>
        <v>11867.84</v>
      </c>
      <c r="Y92" s="2"/>
      <c r="Z92" s="19">
        <f t="shared" si="24"/>
        <v>-1</v>
      </c>
    </row>
    <row r="93" spans="1:26" s="24" customFormat="1" hidden="1" outlineLevel="1" x14ac:dyDescent="0.3">
      <c r="A93" s="44"/>
      <c r="B93" s="11" t="str">
        <f>CONCATENATE("          ", "5004", " - ", "PURCHASES @ COST-DIGITAL TEXT")</f>
        <v xml:space="preserve">          5004 - PURCHASES @ COST-DIGITAL TEXT</v>
      </c>
      <c r="C93" s="11"/>
      <c r="D93" s="2">
        <v>0</v>
      </c>
      <c r="E93" s="2"/>
      <c r="F93" s="19">
        <f t="shared" si="17"/>
        <v>0</v>
      </c>
      <c r="G93" s="2"/>
      <c r="H93" s="2">
        <v>117504.49</v>
      </c>
      <c r="I93" s="2"/>
      <c r="J93" s="19">
        <f t="shared" si="18"/>
        <v>5.6255614365081988E-2</v>
      </c>
      <c r="K93" s="2"/>
      <c r="L93" s="2">
        <f t="shared" si="19"/>
        <v>-117504.49</v>
      </c>
      <c r="M93" s="2"/>
      <c r="N93" s="19">
        <f t="shared" si="20"/>
        <v>-1</v>
      </c>
      <c r="O93" s="11"/>
      <c r="P93" s="2">
        <v>0</v>
      </c>
      <c r="Q93" s="2"/>
      <c r="R93" s="19">
        <f t="shared" si="21"/>
        <v>0</v>
      </c>
      <c r="S93" s="2"/>
      <c r="T93" s="2">
        <v>122429.97</v>
      </c>
      <c r="U93" s="2"/>
      <c r="V93" s="19">
        <f t="shared" si="22"/>
        <v>4.8498745966631868E-2</v>
      </c>
      <c r="W93" s="2"/>
      <c r="X93" s="2">
        <f t="shared" si="23"/>
        <v>-122429.97</v>
      </c>
      <c r="Y93" s="2"/>
      <c r="Z93" s="19">
        <f t="shared" si="24"/>
        <v>-1</v>
      </c>
    </row>
    <row r="94" spans="1:26" s="24" customFormat="1" hidden="1" outlineLevel="1" x14ac:dyDescent="0.3">
      <c r="A94" s="44"/>
      <c r="B94" s="11" t="str">
        <f>CONCATENATE("          ", "5013", " - ", "PURCHASES @ COST-TRADE BOOKS")</f>
        <v xml:space="preserve">          5013 - PURCHASES @ COST-TRADE BOOKS</v>
      </c>
      <c r="C94" s="11"/>
      <c r="D94" s="2"/>
      <c r="E94" s="2"/>
      <c r="F94" s="19">
        <f t="shared" si="17"/>
        <v>0</v>
      </c>
      <c r="G94" s="2"/>
      <c r="H94" s="2"/>
      <c r="I94" s="2"/>
      <c r="J94" s="19">
        <f t="shared" si="18"/>
        <v>0</v>
      </c>
      <c r="K94" s="2"/>
      <c r="L94" s="2">
        <f t="shared" si="19"/>
        <v>0</v>
      </c>
      <c r="M94" s="2"/>
      <c r="N94" s="19">
        <f t="shared" si="20"/>
        <v>0</v>
      </c>
      <c r="O94" s="11"/>
      <c r="P94" s="2"/>
      <c r="Q94" s="2"/>
      <c r="R94" s="19">
        <f t="shared" si="21"/>
        <v>0</v>
      </c>
      <c r="S94" s="2"/>
      <c r="T94" s="2">
        <v>108.54</v>
      </c>
      <c r="U94" s="2"/>
      <c r="V94" s="19">
        <f t="shared" si="22"/>
        <v>4.2996448395913376E-5</v>
      </c>
      <c r="W94" s="2"/>
      <c r="X94" s="2">
        <f t="shared" si="23"/>
        <v>-108.54</v>
      </c>
      <c r="Y94" s="2"/>
      <c r="Z94" s="19">
        <f t="shared" si="24"/>
        <v>-1</v>
      </c>
    </row>
    <row r="95" spans="1:26" s="24" customFormat="1" hidden="1" outlineLevel="1" x14ac:dyDescent="0.3">
      <c r="A95" s="44"/>
      <c r="B95" s="11" t="str">
        <f>CONCATENATE("          ", "5014", " - ", "PURCHASES @ COST-REMAINDERS")</f>
        <v xml:space="preserve">          5014 - PURCHASES @ COST-REMAINDERS</v>
      </c>
      <c r="C95" s="11"/>
      <c r="D95" s="2"/>
      <c r="E95" s="2"/>
      <c r="F95" s="19">
        <f t="shared" si="17"/>
        <v>0</v>
      </c>
      <c r="G95" s="2"/>
      <c r="H95" s="2"/>
      <c r="I95" s="2"/>
      <c r="J95" s="19">
        <f t="shared" si="18"/>
        <v>0</v>
      </c>
      <c r="K95" s="2"/>
      <c r="L95" s="2">
        <f t="shared" si="19"/>
        <v>0</v>
      </c>
      <c r="M95" s="2"/>
      <c r="N95" s="19">
        <f t="shared" si="20"/>
        <v>0</v>
      </c>
      <c r="O95" s="11"/>
      <c r="P95" s="2"/>
      <c r="Q95" s="2"/>
      <c r="R95" s="19">
        <f t="shared" si="21"/>
        <v>0</v>
      </c>
      <c r="S95" s="2"/>
      <c r="T95" s="2">
        <v>-12.51</v>
      </c>
      <c r="U95" s="2"/>
      <c r="V95" s="19">
        <f t="shared" si="22"/>
        <v>-4.9556437205903479E-6</v>
      </c>
      <c r="W95" s="2"/>
      <c r="X95" s="2">
        <f t="shared" si="23"/>
        <v>12.51</v>
      </c>
      <c r="Y95" s="2"/>
      <c r="Z95" s="19">
        <f t="shared" si="24"/>
        <v>-1</v>
      </c>
    </row>
    <row r="96" spans="1:26" s="24" customFormat="1" hidden="1" outlineLevel="1" x14ac:dyDescent="0.3">
      <c r="A96" s="44"/>
      <c r="B96" s="11" t="str">
        <f>CONCATENATE("          ", "5026", " - ", "PURCHASES @ COST-WRITING INSTR")</f>
        <v xml:space="preserve">          5026 - PURCHASES @ COST-WRITING INSTR</v>
      </c>
      <c r="C96" s="11"/>
      <c r="D96" s="2">
        <v>0</v>
      </c>
      <c r="E96" s="2"/>
      <c r="F96" s="19">
        <f t="shared" si="17"/>
        <v>0</v>
      </c>
      <c r="G96" s="2"/>
      <c r="H96" s="2"/>
      <c r="I96" s="2"/>
      <c r="J96" s="19">
        <f t="shared" si="18"/>
        <v>0</v>
      </c>
      <c r="K96" s="2"/>
      <c r="L96" s="2">
        <f t="shared" si="19"/>
        <v>0</v>
      </c>
      <c r="M96" s="2"/>
      <c r="N96" s="19">
        <f t="shared" si="20"/>
        <v>0</v>
      </c>
      <c r="O96" s="11"/>
      <c r="P96" s="2">
        <v>0</v>
      </c>
      <c r="Q96" s="2"/>
      <c r="R96" s="19">
        <f t="shared" si="21"/>
        <v>0</v>
      </c>
      <c r="S96" s="2"/>
      <c r="T96" s="2"/>
      <c r="U96" s="2"/>
      <c r="V96" s="19">
        <f t="shared" si="22"/>
        <v>0</v>
      </c>
      <c r="W96" s="2"/>
      <c r="X96" s="2">
        <f t="shared" si="23"/>
        <v>0</v>
      </c>
      <c r="Y96" s="2"/>
      <c r="Z96" s="19">
        <f t="shared" si="24"/>
        <v>0</v>
      </c>
    </row>
    <row r="97" spans="1:26" s="24" customFormat="1" hidden="1" outlineLevel="1" x14ac:dyDescent="0.3">
      <c r="A97" s="44"/>
      <c r="B97" s="11" t="str">
        <f>CONCATENATE("          ", "5027", " - ", "PURCHASES @ COST-SCHOOL SUPPLI")</f>
        <v xml:space="preserve">          5027 - PURCHASES @ COST-SCHOOL SUPPLI</v>
      </c>
      <c r="C97" s="11"/>
      <c r="D97" s="2">
        <v>0</v>
      </c>
      <c r="E97" s="2"/>
      <c r="F97" s="19">
        <f t="shared" si="17"/>
        <v>0</v>
      </c>
      <c r="G97" s="2"/>
      <c r="H97" s="2"/>
      <c r="I97" s="2"/>
      <c r="J97" s="19">
        <f t="shared" si="18"/>
        <v>0</v>
      </c>
      <c r="K97" s="2"/>
      <c r="L97" s="2">
        <f t="shared" si="19"/>
        <v>0</v>
      </c>
      <c r="M97" s="2"/>
      <c r="N97" s="19">
        <f t="shared" si="20"/>
        <v>0</v>
      </c>
      <c r="O97" s="11"/>
      <c r="P97" s="2">
        <v>0</v>
      </c>
      <c r="Q97" s="2"/>
      <c r="R97" s="19">
        <f t="shared" si="21"/>
        <v>0</v>
      </c>
      <c r="S97" s="2"/>
      <c r="T97" s="2">
        <v>8503.4</v>
      </c>
      <c r="U97" s="2"/>
      <c r="V97" s="19">
        <f t="shared" si="22"/>
        <v>3.3684908723955204E-3</v>
      </c>
      <c r="W97" s="2"/>
      <c r="X97" s="2">
        <f t="shared" si="23"/>
        <v>-8503.4</v>
      </c>
      <c r="Y97" s="2"/>
      <c r="Z97" s="19">
        <f t="shared" si="24"/>
        <v>-1</v>
      </c>
    </row>
    <row r="98" spans="1:26" s="24" customFormat="1" hidden="1" outlineLevel="1" x14ac:dyDescent="0.3">
      <c r="A98" s="44"/>
      <c r="B98" s="11" t="str">
        <f>CONCATENATE("          ", "5028", " - ", "PURCHASES @ COST-ART/TECH")</f>
        <v xml:space="preserve">          5028 - PURCHASES @ COST-ART/TECH</v>
      </c>
      <c r="C98" s="11"/>
      <c r="D98" s="2">
        <v>0</v>
      </c>
      <c r="E98" s="2"/>
      <c r="F98" s="19">
        <f t="shared" si="17"/>
        <v>0</v>
      </c>
      <c r="G98" s="2"/>
      <c r="H98" s="2"/>
      <c r="I98" s="2"/>
      <c r="J98" s="19">
        <f t="shared" si="18"/>
        <v>0</v>
      </c>
      <c r="K98" s="2"/>
      <c r="L98" s="2">
        <f t="shared" si="19"/>
        <v>0</v>
      </c>
      <c r="M98" s="2"/>
      <c r="N98" s="19">
        <f t="shared" si="20"/>
        <v>0</v>
      </c>
      <c r="O98" s="11"/>
      <c r="P98" s="2">
        <v>0</v>
      </c>
      <c r="Q98" s="2"/>
      <c r="R98" s="19">
        <f t="shared" si="21"/>
        <v>0</v>
      </c>
      <c r="S98" s="2"/>
      <c r="T98" s="2"/>
      <c r="U98" s="2"/>
      <c r="V98" s="19">
        <f t="shared" si="22"/>
        <v>0</v>
      </c>
      <c r="W98" s="2"/>
      <c r="X98" s="2">
        <f t="shared" si="23"/>
        <v>0</v>
      </c>
      <c r="Y98" s="2"/>
      <c r="Z98" s="19">
        <f t="shared" si="24"/>
        <v>0</v>
      </c>
    </row>
    <row r="99" spans="1:26" s="24" customFormat="1" hidden="1" outlineLevel="1" x14ac:dyDescent="0.3">
      <c r="A99" s="44"/>
      <c r="B99" s="11" t="str">
        <f>CONCATENATE("          ", "5031", " - ", "PURCHASES @ COST-FOOD")</f>
        <v xml:space="preserve">          5031 - PURCHASES @ COST-FOOD</v>
      </c>
      <c r="C99" s="11"/>
      <c r="D99" s="2">
        <v>0</v>
      </c>
      <c r="E99" s="2"/>
      <c r="F99" s="19">
        <f t="shared" si="17"/>
        <v>0</v>
      </c>
      <c r="G99" s="2"/>
      <c r="H99" s="2">
        <v>0</v>
      </c>
      <c r="I99" s="2"/>
      <c r="J99" s="19">
        <f t="shared" si="18"/>
        <v>0</v>
      </c>
      <c r="K99" s="2"/>
      <c r="L99" s="2">
        <f t="shared" si="19"/>
        <v>0</v>
      </c>
      <c r="M99" s="2"/>
      <c r="N99" s="19">
        <f t="shared" si="20"/>
        <v>0</v>
      </c>
      <c r="O99" s="11"/>
      <c r="P99" s="2">
        <v>0</v>
      </c>
      <c r="Q99" s="2"/>
      <c r="R99" s="19">
        <f t="shared" si="21"/>
        <v>0</v>
      </c>
      <c r="S99" s="2"/>
      <c r="T99" s="2">
        <v>0</v>
      </c>
      <c r="U99" s="2"/>
      <c r="V99" s="19">
        <f t="shared" si="22"/>
        <v>0</v>
      </c>
      <c r="W99" s="2"/>
      <c r="X99" s="2">
        <f t="shared" si="23"/>
        <v>0</v>
      </c>
      <c r="Y99" s="2"/>
      <c r="Z99" s="19">
        <f t="shared" si="24"/>
        <v>0</v>
      </c>
    </row>
    <row r="100" spans="1:26" s="24" customFormat="1" hidden="1" outlineLevel="1" x14ac:dyDescent="0.3">
      <c r="A100" s="44"/>
      <c r="B100" s="11" t="str">
        <f>CONCATENATE("          ", "5040", " - ", "PURCHASES @ COST-LOGO CLOTHING")</f>
        <v xml:space="preserve">          5040 - PURCHASES @ COST-LOGO CLOTHING</v>
      </c>
      <c r="C100" s="11"/>
      <c r="D100" s="2">
        <v>0</v>
      </c>
      <c r="E100" s="2"/>
      <c r="F100" s="19">
        <f t="shared" si="17"/>
        <v>0</v>
      </c>
      <c r="G100" s="2"/>
      <c r="H100" s="2">
        <v>7628.83</v>
      </c>
      <c r="I100" s="2"/>
      <c r="J100" s="19">
        <f t="shared" si="18"/>
        <v>3.6523244221286213E-3</v>
      </c>
      <c r="K100" s="2"/>
      <c r="L100" s="2">
        <f t="shared" si="19"/>
        <v>-7628.83</v>
      </c>
      <c r="M100" s="2"/>
      <c r="N100" s="19">
        <f t="shared" si="20"/>
        <v>-1</v>
      </c>
      <c r="O100" s="11"/>
      <c r="P100" s="2">
        <v>0</v>
      </c>
      <c r="Q100" s="2"/>
      <c r="R100" s="19">
        <f t="shared" si="21"/>
        <v>0</v>
      </c>
      <c r="S100" s="2"/>
      <c r="T100" s="2">
        <v>9351.9</v>
      </c>
      <c r="U100" s="2"/>
      <c r="V100" s="19">
        <f t="shared" si="22"/>
        <v>3.7046110719895181E-3</v>
      </c>
      <c r="W100" s="2"/>
      <c r="X100" s="2">
        <f t="shared" si="23"/>
        <v>-9351.9</v>
      </c>
      <c r="Y100" s="2"/>
      <c r="Z100" s="19">
        <f t="shared" si="24"/>
        <v>-1</v>
      </c>
    </row>
    <row r="101" spans="1:26" s="24" customFormat="1" hidden="1" outlineLevel="1" x14ac:dyDescent="0.3">
      <c r="A101" s="44"/>
      <c r="B101" s="11" t="str">
        <f>CONCATENATE("          ", "5041", " - ", "PURCHASES @ COST-LOGO GIFTS")</f>
        <v xml:space="preserve">          5041 - PURCHASES @ COST-LOGO GIFTS</v>
      </c>
      <c r="C101" s="11"/>
      <c r="D101" s="2">
        <v>0</v>
      </c>
      <c r="E101" s="2"/>
      <c r="F101" s="19">
        <f t="shared" si="17"/>
        <v>0</v>
      </c>
      <c r="G101" s="2"/>
      <c r="H101" s="2">
        <v>1843.29</v>
      </c>
      <c r="I101" s="2"/>
      <c r="J101" s="19">
        <f t="shared" si="18"/>
        <v>8.8248041758244274E-4</v>
      </c>
      <c r="K101" s="2"/>
      <c r="L101" s="2">
        <f t="shared" si="19"/>
        <v>-1843.29</v>
      </c>
      <c r="M101" s="2"/>
      <c r="N101" s="19">
        <f t="shared" si="20"/>
        <v>-1</v>
      </c>
      <c r="O101" s="11"/>
      <c r="P101" s="2">
        <v>0</v>
      </c>
      <c r="Q101" s="2"/>
      <c r="R101" s="19">
        <f t="shared" si="21"/>
        <v>0</v>
      </c>
      <c r="S101" s="2"/>
      <c r="T101" s="2">
        <v>1129.54</v>
      </c>
      <c r="U101" s="2"/>
      <c r="V101" s="19">
        <f t="shared" si="22"/>
        <v>4.4744986476064118E-4</v>
      </c>
      <c r="W101" s="2"/>
      <c r="X101" s="2">
        <f t="shared" si="23"/>
        <v>-1129.54</v>
      </c>
      <c r="Y101" s="2"/>
      <c r="Z101" s="19">
        <f t="shared" si="24"/>
        <v>-1</v>
      </c>
    </row>
    <row r="102" spans="1:26" s="24" customFormat="1" hidden="1" outlineLevel="1" x14ac:dyDescent="0.3">
      <c r="A102" s="44"/>
      <c r="B102" s="11" t="str">
        <f>CONCATENATE("          ", "5042", " - ", "PURCHASES @ COST-EVERYDAY GIFT")</f>
        <v xml:space="preserve">          5042 - PURCHASES @ COST-EVERYDAY GIFT</v>
      </c>
      <c r="C102" s="11"/>
      <c r="D102" s="2">
        <v>0</v>
      </c>
      <c r="E102" s="2"/>
      <c r="F102" s="19">
        <f t="shared" si="17"/>
        <v>0</v>
      </c>
      <c r="G102" s="2"/>
      <c r="H102" s="2">
        <v>732.99</v>
      </c>
      <c r="I102" s="2"/>
      <c r="J102" s="19">
        <f t="shared" si="18"/>
        <v>3.5092108202385664E-4</v>
      </c>
      <c r="K102" s="2"/>
      <c r="L102" s="2">
        <f t="shared" si="19"/>
        <v>-732.99</v>
      </c>
      <c r="M102" s="2"/>
      <c r="N102" s="19">
        <f t="shared" si="20"/>
        <v>-1</v>
      </c>
      <c r="O102" s="11"/>
      <c r="P102" s="2">
        <v>0</v>
      </c>
      <c r="Q102" s="2"/>
      <c r="R102" s="19">
        <f t="shared" si="21"/>
        <v>0</v>
      </c>
      <c r="S102" s="2"/>
      <c r="T102" s="2">
        <v>969.15</v>
      </c>
      <c r="U102" s="2"/>
      <c r="V102" s="19">
        <f t="shared" si="22"/>
        <v>3.839138378745112E-4</v>
      </c>
      <c r="W102" s="2"/>
      <c r="X102" s="2">
        <f t="shared" si="23"/>
        <v>-969.15</v>
      </c>
      <c r="Y102" s="2"/>
      <c r="Z102" s="19">
        <f t="shared" si="24"/>
        <v>-1</v>
      </c>
    </row>
    <row r="103" spans="1:26" s="24" customFormat="1" hidden="1" outlineLevel="1" x14ac:dyDescent="0.3">
      <c r="A103" s="44"/>
      <c r="B103" s="11" t="str">
        <f>CONCATENATE("          ", "5043", " - ", "PURCHASES @ COST-CARDS")</f>
        <v xml:space="preserve">          5043 - PURCHASES @ COST-CARDS</v>
      </c>
      <c r="C103" s="11"/>
      <c r="D103" s="2">
        <v>0</v>
      </c>
      <c r="E103" s="2"/>
      <c r="F103" s="19">
        <f t="shared" si="17"/>
        <v>0</v>
      </c>
      <c r="G103" s="2"/>
      <c r="H103" s="2">
        <v>1406.55</v>
      </c>
      <c r="I103" s="2"/>
      <c r="J103" s="19">
        <f t="shared" si="18"/>
        <v>6.7338987969911665E-4</v>
      </c>
      <c r="K103" s="2"/>
      <c r="L103" s="2">
        <f t="shared" si="19"/>
        <v>-1406.55</v>
      </c>
      <c r="M103" s="2"/>
      <c r="N103" s="19">
        <f t="shared" si="20"/>
        <v>-1</v>
      </c>
      <c r="O103" s="11"/>
      <c r="P103" s="2">
        <v>0</v>
      </c>
      <c r="Q103" s="2"/>
      <c r="R103" s="19">
        <f t="shared" si="21"/>
        <v>0</v>
      </c>
      <c r="S103" s="2"/>
      <c r="T103" s="2">
        <v>1715.25</v>
      </c>
      <c r="U103" s="2"/>
      <c r="V103" s="19">
        <f t="shared" si="22"/>
        <v>6.7946985545504343E-4</v>
      </c>
      <c r="W103" s="2"/>
      <c r="X103" s="2">
        <f t="shared" si="23"/>
        <v>-1715.25</v>
      </c>
      <c r="Y103" s="2"/>
      <c r="Z103" s="19">
        <f t="shared" si="24"/>
        <v>-1</v>
      </c>
    </row>
    <row r="104" spans="1:26" s="24" customFormat="1" hidden="1" outlineLevel="1" x14ac:dyDescent="0.3">
      <c r="A104" s="44"/>
      <c r="B104" s="11" t="str">
        <f>CONCATENATE("          ", "5044", " - ", "PURCHASES @ COST-ACCESSORIES")</f>
        <v xml:space="preserve">          5044 - PURCHASES @ COST-ACCESSORIES</v>
      </c>
      <c r="C104" s="11"/>
      <c r="D104" s="2">
        <v>0</v>
      </c>
      <c r="E104" s="2"/>
      <c r="F104" s="19">
        <f t="shared" si="17"/>
        <v>0</v>
      </c>
      <c r="G104" s="2"/>
      <c r="H104" s="2"/>
      <c r="I104" s="2"/>
      <c r="J104" s="19">
        <f t="shared" si="18"/>
        <v>0</v>
      </c>
      <c r="K104" s="2"/>
      <c r="L104" s="2">
        <f t="shared" si="19"/>
        <v>0</v>
      </c>
      <c r="M104" s="2"/>
      <c r="N104" s="19">
        <f t="shared" si="20"/>
        <v>0</v>
      </c>
      <c r="O104" s="11"/>
      <c r="P104" s="2">
        <v>0</v>
      </c>
      <c r="Q104" s="2"/>
      <c r="R104" s="19">
        <f t="shared" si="21"/>
        <v>0</v>
      </c>
      <c r="S104" s="2"/>
      <c r="T104" s="2"/>
      <c r="U104" s="2"/>
      <c r="V104" s="19">
        <f t="shared" si="22"/>
        <v>0</v>
      </c>
      <c r="W104" s="2"/>
      <c r="X104" s="2">
        <f t="shared" si="23"/>
        <v>0</v>
      </c>
      <c r="Y104" s="2"/>
      <c r="Z104" s="19">
        <f t="shared" si="24"/>
        <v>0</v>
      </c>
    </row>
    <row r="105" spans="1:26" s="24" customFormat="1" hidden="1" outlineLevel="1" x14ac:dyDescent="0.3">
      <c r="A105" s="44"/>
      <c r="B105" s="11" t="str">
        <f>CONCATENATE("          ", "5045", " - ", "PURCHASES @ COST-SPECIAL ORDER")</f>
        <v xml:space="preserve">          5045 - PURCHASES @ COST-SPECIAL ORDER</v>
      </c>
      <c r="C105" s="11"/>
      <c r="D105" s="2">
        <v>0</v>
      </c>
      <c r="E105" s="2"/>
      <c r="F105" s="19">
        <f t="shared" si="17"/>
        <v>0</v>
      </c>
      <c r="G105" s="2"/>
      <c r="H105" s="2">
        <v>5633.96</v>
      </c>
      <c r="I105" s="2"/>
      <c r="J105" s="19">
        <f t="shared" si="18"/>
        <v>2.6972746412353885E-3</v>
      </c>
      <c r="K105" s="2"/>
      <c r="L105" s="2">
        <f t="shared" si="19"/>
        <v>-5633.96</v>
      </c>
      <c r="M105" s="2"/>
      <c r="N105" s="19">
        <f t="shared" si="20"/>
        <v>-1</v>
      </c>
      <c r="O105" s="11"/>
      <c r="P105" s="2">
        <v>0</v>
      </c>
      <c r="Q105" s="2"/>
      <c r="R105" s="19">
        <f t="shared" si="21"/>
        <v>0</v>
      </c>
      <c r="S105" s="2"/>
      <c r="T105" s="2">
        <v>8390.17</v>
      </c>
      <c r="U105" s="2"/>
      <c r="V105" s="19">
        <f t="shared" si="22"/>
        <v>3.3236365527726233E-3</v>
      </c>
      <c r="W105" s="2"/>
      <c r="X105" s="2">
        <f t="shared" si="23"/>
        <v>-8390.17</v>
      </c>
      <c r="Y105" s="2"/>
      <c r="Z105" s="19">
        <f t="shared" si="24"/>
        <v>-1</v>
      </c>
    </row>
    <row r="106" spans="1:26" s="24" customFormat="1" hidden="1" outlineLevel="1" x14ac:dyDescent="0.3">
      <c r="A106" s="44"/>
      <c r="B106" s="11" t="str">
        <f>CONCATENATE("          ", "5081", " - ", "PURCHASES @ COST-ELECTRONICS")</f>
        <v xml:space="preserve">          5081 - PURCHASES @ COST-ELECTRONICS</v>
      </c>
      <c r="C106" s="11"/>
      <c r="D106" s="2">
        <v>0</v>
      </c>
      <c r="E106" s="2"/>
      <c r="F106" s="19">
        <f t="shared" si="17"/>
        <v>0</v>
      </c>
      <c r="G106" s="2"/>
      <c r="H106" s="2">
        <v>745.55</v>
      </c>
      <c r="I106" s="2"/>
      <c r="J106" s="19">
        <f t="shared" si="18"/>
        <v>3.5693421834252353E-4</v>
      </c>
      <c r="K106" s="2"/>
      <c r="L106" s="2">
        <f t="shared" si="19"/>
        <v>-745.55</v>
      </c>
      <c r="M106" s="2"/>
      <c r="N106" s="19">
        <f t="shared" si="20"/>
        <v>-1</v>
      </c>
      <c r="O106" s="11"/>
      <c r="P106" s="2">
        <v>0</v>
      </c>
      <c r="Q106" s="2"/>
      <c r="R106" s="19">
        <f t="shared" si="21"/>
        <v>0</v>
      </c>
      <c r="S106" s="2"/>
      <c r="T106" s="2">
        <v>7422.47</v>
      </c>
      <c r="U106" s="2"/>
      <c r="V106" s="19">
        <f t="shared" si="22"/>
        <v>2.9402971100535762E-3</v>
      </c>
      <c r="W106" s="2"/>
      <c r="X106" s="2">
        <f t="shared" si="23"/>
        <v>-7422.47</v>
      </c>
      <c r="Y106" s="2"/>
      <c r="Z106" s="19">
        <f t="shared" si="24"/>
        <v>-1</v>
      </c>
    </row>
    <row r="107" spans="1:26" s="24" customFormat="1" hidden="1" outlineLevel="1" x14ac:dyDescent="0.3">
      <c r="A107" s="44"/>
      <c r="B107" s="11" t="str">
        <f>CONCATENATE("          ", "5082", " - ", "PURCHASES @ COST-COMPUTER HARD")</f>
        <v xml:space="preserve">          5082 - PURCHASES @ COST-COMPUTER HARD</v>
      </c>
      <c r="C107" s="11"/>
      <c r="D107" s="2">
        <v>-23501.200000000001</v>
      </c>
      <c r="E107" s="2"/>
      <c r="F107" s="19">
        <f t="shared" si="17"/>
        <v>-1.2661138295012754E-2</v>
      </c>
      <c r="G107" s="2"/>
      <c r="H107" s="2">
        <v>56751.23</v>
      </c>
      <c r="I107" s="2"/>
      <c r="J107" s="19">
        <f t="shared" si="18"/>
        <v>2.7169815465128797E-2</v>
      </c>
      <c r="K107" s="2"/>
      <c r="L107" s="2">
        <f t="shared" si="19"/>
        <v>-80252.430000000008</v>
      </c>
      <c r="M107" s="2"/>
      <c r="N107" s="19">
        <f t="shared" si="20"/>
        <v>-1.4141090862700245</v>
      </c>
      <c r="O107" s="11"/>
      <c r="P107" s="2">
        <v>-34403.82</v>
      </c>
      <c r="Q107" s="2"/>
      <c r="R107" s="19">
        <f t="shared" si="21"/>
        <v>-1.5839896392060283E-2</v>
      </c>
      <c r="S107" s="2"/>
      <c r="T107" s="2">
        <v>243223.8</v>
      </c>
      <c r="U107" s="2"/>
      <c r="V107" s="19">
        <f t="shared" si="22"/>
        <v>9.6349360285221619E-2</v>
      </c>
      <c r="W107" s="2"/>
      <c r="X107" s="2">
        <f t="shared" si="23"/>
        <v>-277627.62</v>
      </c>
      <c r="Y107" s="2"/>
      <c r="Z107" s="19">
        <f t="shared" si="24"/>
        <v>-1.1414492331753718</v>
      </c>
    </row>
    <row r="108" spans="1:26" s="24" customFormat="1" hidden="1" outlineLevel="1" x14ac:dyDescent="0.3">
      <c r="A108" s="44"/>
      <c r="B108" s="11" t="str">
        <f>CONCATENATE("          ", "5083", " - ", "PURCHASES @ COST-COMPUTER EQUI")</f>
        <v xml:space="preserve">          5083 - PURCHASES @ COST-COMPUTER EQUI</v>
      </c>
      <c r="C108" s="11"/>
      <c r="D108" s="2">
        <v>0</v>
      </c>
      <c r="E108" s="2"/>
      <c r="F108" s="19">
        <f t="shared" si="17"/>
        <v>0</v>
      </c>
      <c r="G108" s="2"/>
      <c r="H108" s="2">
        <v>7340.55</v>
      </c>
      <c r="I108" s="2"/>
      <c r="J108" s="19">
        <f t="shared" si="18"/>
        <v>3.5143095385342517E-3</v>
      </c>
      <c r="K108" s="2"/>
      <c r="L108" s="2">
        <f t="shared" si="19"/>
        <v>-7340.55</v>
      </c>
      <c r="M108" s="2"/>
      <c r="N108" s="19">
        <f t="shared" si="20"/>
        <v>-1</v>
      </c>
      <c r="O108" s="11"/>
      <c r="P108" s="2">
        <v>0</v>
      </c>
      <c r="Q108" s="2"/>
      <c r="R108" s="19">
        <f t="shared" si="21"/>
        <v>0</v>
      </c>
      <c r="S108" s="2"/>
      <c r="T108" s="2">
        <v>37278.85</v>
      </c>
      <c r="U108" s="2"/>
      <c r="V108" s="19">
        <f t="shared" si="22"/>
        <v>1.4767441959498759E-2</v>
      </c>
      <c r="W108" s="2"/>
      <c r="X108" s="2">
        <f t="shared" si="23"/>
        <v>-37278.85</v>
      </c>
      <c r="Y108" s="2"/>
      <c r="Z108" s="19">
        <f t="shared" si="24"/>
        <v>-1</v>
      </c>
    </row>
    <row r="109" spans="1:26" s="24" customFormat="1" hidden="1" outlineLevel="1" x14ac:dyDescent="0.3">
      <c r="A109" s="44"/>
      <c r="B109" s="11" t="str">
        <f>CONCATENATE("          ", "5085", " - ", "PURCHASES @ COST-SOFTWARE")</f>
        <v xml:space="preserve">          5085 - PURCHASES @ COST-SOFTWARE</v>
      </c>
      <c r="C109" s="11"/>
      <c r="D109" s="2">
        <v>0</v>
      </c>
      <c r="E109" s="2"/>
      <c r="F109" s="19">
        <f t="shared" si="17"/>
        <v>0</v>
      </c>
      <c r="G109" s="2"/>
      <c r="H109" s="2">
        <v>2364.2199999999998</v>
      </c>
      <c r="I109" s="2"/>
      <c r="J109" s="19">
        <f t="shared" si="18"/>
        <v>1.1318771614107182E-3</v>
      </c>
      <c r="K109" s="2"/>
      <c r="L109" s="2">
        <f t="shared" si="19"/>
        <v>-2364.2199999999998</v>
      </c>
      <c r="M109" s="2"/>
      <c r="N109" s="19">
        <f t="shared" si="20"/>
        <v>-1</v>
      </c>
      <c r="O109" s="11"/>
      <c r="P109" s="2">
        <v>0</v>
      </c>
      <c r="Q109" s="2"/>
      <c r="R109" s="19">
        <f t="shared" si="21"/>
        <v>0</v>
      </c>
      <c r="S109" s="2"/>
      <c r="T109" s="2">
        <v>6228.56</v>
      </c>
      <c r="U109" s="2"/>
      <c r="V109" s="19">
        <f t="shared" si="22"/>
        <v>2.4673480617362284E-3</v>
      </c>
      <c r="W109" s="2"/>
      <c r="X109" s="2">
        <f t="shared" si="23"/>
        <v>-6228.56</v>
      </c>
      <c r="Y109" s="2"/>
      <c r="Z109" s="19">
        <f t="shared" si="24"/>
        <v>-1</v>
      </c>
    </row>
    <row r="110" spans="1:26" s="24" customFormat="1" hidden="1" outlineLevel="1" x14ac:dyDescent="0.3">
      <c r="A110" s="44"/>
      <c r="B110" s="11" t="str">
        <f>CONCATENATE("          ", "5086", " - ", "PURCHASES @ COST-COMPUTER SUPP")</f>
        <v xml:space="preserve">          5086 - PURCHASES @ COST-COMPUTER SUPP</v>
      </c>
      <c r="C110" s="11"/>
      <c r="D110" s="2">
        <v>0</v>
      </c>
      <c r="E110" s="2"/>
      <c r="F110" s="19">
        <f t="shared" si="17"/>
        <v>0</v>
      </c>
      <c r="G110" s="2"/>
      <c r="H110" s="2">
        <v>21649.96</v>
      </c>
      <c r="I110" s="2"/>
      <c r="J110" s="19">
        <f t="shared" si="18"/>
        <v>1.0364980953318892E-2</v>
      </c>
      <c r="K110" s="2"/>
      <c r="L110" s="2">
        <f t="shared" si="19"/>
        <v>-21649.96</v>
      </c>
      <c r="M110" s="2"/>
      <c r="N110" s="19">
        <f t="shared" si="20"/>
        <v>-1</v>
      </c>
      <c r="O110" s="11"/>
      <c r="P110" s="2">
        <v>0</v>
      </c>
      <c r="Q110" s="2"/>
      <c r="R110" s="19">
        <f t="shared" si="21"/>
        <v>0</v>
      </c>
      <c r="S110" s="2"/>
      <c r="T110" s="2">
        <v>21737.21</v>
      </c>
      <c r="U110" s="2"/>
      <c r="V110" s="19">
        <f t="shared" si="22"/>
        <v>8.6108607705558515E-3</v>
      </c>
      <c r="W110" s="2"/>
      <c r="X110" s="2">
        <f t="shared" si="23"/>
        <v>-21737.21</v>
      </c>
      <c r="Y110" s="2"/>
      <c r="Z110" s="19">
        <f t="shared" si="24"/>
        <v>-1</v>
      </c>
    </row>
    <row r="111" spans="1:26" s="24" customFormat="1" hidden="1" outlineLevel="1" x14ac:dyDescent="0.3">
      <c r="A111" s="44"/>
      <c r="B111" s="11" t="str">
        <f>CONCATENATE("          ", "5092", " - ", "PURCHASES @ COST-GRAD MERCH")</f>
        <v xml:space="preserve">          5092 - PURCHASES @ COST-GRAD MERCH</v>
      </c>
      <c r="C111" s="11"/>
      <c r="D111" s="2"/>
      <c r="E111" s="2"/>
      <c r="F111" s="19">
        <f t="shared" si="17"/>
        <v>0</v>
      </c>
      <c r="G111" s="2"/>
      <c r="H111" s="2"/>
      <c r="I111" s="2"/>
      <c r="J111" s="19">
        <f t="shared" si="18"/>
        <v>0</v>
      </c>
      <c r="K111" s="2"/>
      <c r="L111" s="2">
        <f t="shared" si="19"/>
        <v>0</v>
      </c>
      <c r="M111" s="2"/>
      <c r="N111" s="19">
        <f t="shared" si="20"/>
        <v>0</v>
      </c>
      <c r="O111" s="11"/>
      <c r="P111" s="2"/>
      <c r="Q111" s="2"/>
      <c r="R111" s="19">
        <f t="shared" si="21"/>
        <v>0</v>
      </c>
      <c r="S111" s="2"/>
      <c r="T111" s="2">
        <v>0</v>
      </c>
      <c r="U111" s="2"/>
      <c r="V111" s="19">
        <f t="shared" si="22"/>
        <v>0</v>
      </c>
      <c r="W111" s="2"/>
      <c r="X111" s="2">
        <f t="shared" si="23"/>
        <v>0</v>
      </c>
      <c r="Y111" s="2"/>
      <c r="Z111" s="19">
        <f t="shared" si="24"/>
        <v>0</v>
      </c>
    </row>
    <row r="112" spans="1:26" s="24" customFormat="1" hidden="1" outlineLevel="1" x14ac:dyDescent="0.3">
      <c r="A112" s="44"/>
      <c r="B112" s="11" t="str">
        <f>CONCATENATE("          ", "5200", " - ", "PURCHASES OFFSET")</f>
        <v xml:space="preserve">          5200 - PURCHASES OFFSET</v>
      </c>
      <c r="C112" s="11"/>
      <c r="D112" s="2">
        <v>-589608.85</v>
      </c>
      <c r="E112" s="2"/>
      <c r="F112" s="19">
        <f t="shared" si="17"/>
        <v>-0.31764842602988064</v>
      </c>
      <c r="G112" s="2"/>
      <c r="H112" s="2">
        <v>-586112.93000000005</v>
      </c>
      <c r="I112" s="2"/>
      <c r="J112" s="19">
        <f t="shared" si="18"/>
        <v>-0.28060326004962272</v>
      </c>
      <c r="K112" s="2"/>
      <c r="L112" s="2">
        <f t="shared" si="19"/>
        <v>-3495.9199999999255</v>
      </c>
      <c r="M112" s="2"/>
      <c r="N112" s="19">
        <f t="shared" si="20"/>
        <v>5.9645843336026136E-3</v>
      </c>
      <c r="O112" s="11"/>
      <c r="P112" s="2">
        <v>-1033340.17</v>
      </c>
      <c r="Q112" s="2"/>
      <c r="R112" s="19">
        <f t="shared" si="21"/>
        <v>-0.47576115764336518</v>
      </c>
      <c r="S112" s="2"/>
      <c r="T112" s="2">
        <v>-1028934.98</v>
      </c>
      <c r="U112" s="2"/>
      <c r="V112" s="19">
        <f t="shared" si="22"/>
        <v>-0.40759673641348959</v>
      </c>
      <c r="W112" s="2"/>
      <c r="X112" s="2">
        <f t="shared" si="23"/>
        <v>-4405.1900000000605</v>
      </c>
      <c r="Y112" s="2"/>
      <c r="Z112" s="19">
        <f t="shared" si="24"/>
        <v>4.2813103700683405E-3</v>
      </c>
    </row>
    <row r="113" spans="1:26" s="24" customFormat="1" hidden="1" outlineLevel="1" x14ac:dyDescent="0.3">
      <c r="A113" s="44"/>
      <c r="B113" s="11" t="str">
        <f>CONCATENATE("          ", "5300", " - ", "COG$ OFFSET")</f>
        <v xml:space="preserve">          5300 - COG$ OFFSET</v>
      </c>
      <c r="C113" s="11"/>
      <c r="D113" s="2">
        <v>1104681.67</v>
      </c>
      <c r="E113" s="2"/>
      <c r="F113" s="19">
        <f t="shared" si="17"/>
        <v>0.59514098836806806</v>
      </c>
      <c r="G113" s="2"/>
      <c r="H113" s="2">
        <v>1248893</v>
      </c>
      <c r="I113" s="2"/>
      <c r="J113" s="19">
        <f t="shared" si="18"/>
        <v>0.59791113506599058</v>
      </c>
      <c r="K113" s="2"/>
      <c r="L113" s="2">
        <f t="shared" si="19"/>
        <v>-144211.33000000007</v>
      </c>
      <c r="M113" s="2"/>
      <c r="N113" s="19">
        <f t="shared" si="20"/>
        <v>-0.11547132540577942</v>
      </c>
      <c r="O113" s="11"/>
      <c r="P113" s="2">
        <v>1323367.17</v>
      </c>
      <c r="Q113" s="2"/>
      <c r="R113" s="19">
        <f t="shared" si="21"/>
        <v>0.60929277218210143</v>
      </c>
      <c r="S113" s="2"/>
      <c r="T113" s="2">
        <v>1568477</v>
      </c>
      <c r="U113" s="2"/>
      <c r="V113" s="19">
        <f t="shared" si="22"/>
        <v>0.62132799328060639</v>
      </c>
      <c r="W113" s="2"/>
      <c r="X113" s="2">
        <f t="shared" si="23"/>
        <v>-245109.83000000007</v>
      </c>
      <c r="Y113" s="2"/>
      <c r="Z113" s="19">
        <f t="shared" si="24"/>
        <v>-0.15627250511164656</v>
      </c>
    </row>
    <row r="114" spans="1:26" s="24" customFormat="1" hidden="1" outlineLevel="1" x14ac:dyDescent="0.3">
      <c r="A114" s="44"/>
      <c r="B114" s="11" t="str">
        <f>CONCATENATE("          ", "5500", " - ", "FREIGHT-IN")</f>
        <v xml:space="preserve">          5500 - FREIGHT-IN</v>
      </c>
      <c r="C114" s="11"/>
      <c r="D114" s="2">
        <v>6605.18</v>
      </c>
      <c r="E114" s="2"/>
      <c r="F114" s="19">
        <f t="shared" si="17"/>
        <v>3.558503286787583E-3</v>
      </c>
      <c r="G114" s="2"/>
      <c r="H114" s="2">
        <v>0</v>
      </c>
      <c r="I114" s="2"/>
      <c r="J114" s="19">
        <f t="shared" si="18"/>
        <v>0</v>
      </c>
      <c r="K114" s="2"/>
      <c r="L114" s="2">
        <f t="shared" si="19"/>
        <v>6605.18</v>
      </c>
      <c r="M114" s="2"/>
      <c r="N114" s="19">
        <f t="shared" si="20"/>
        <v>0</v>
      </c>
      <c r="O114" s="11"/>
      <c r="P114" s="2">
        <v>10210.32</v>
      </c>
      <c r="Q114" s="2"/>
      <c r="R114" s="19">
        <f t="shared" si="21"/>
        <v>4.7009434106381484E-3</v>
      </c>
      <c r="S114" s="2"/>
      <c r="T114" s="2">
        <v>0</v>
      </c>
      <c r="U114" s="2"/>
      <c r="V114" s="19">
        <f t="shared" si="22"/>
        <v>0</v>
      </c>
      <c r="W114" s="2"/>
      <c r="X114" s="2">
        <f t="shared" si="23"/>
        <v>10210.32</v>
      </c>
      <c r="Y114" s="2"/>
      <c r="Z114" s="19">
        <f t="shared" si="24"/>
        <v>0</v>
      </c>
    </row>
    <row r="115" spans="1:26" s="24" customFormat="1" hidden="1" outlineLevel="1" x14ac:dyDescent="0.3">
      <c r="A115" s="44"/>
      <c r="B115" s="11" t="str">
        <f>CONCATENATE("          ", "5501", " - ", "FREIGHT-IN-NEW TEXT")</f>
        <v xml:space="preserve">          5501 - FREIGHT-IN-NEW TEXT</v>
      </c>
      <c r="C115" s="11"/>
      <c r="D115" s="2">
        <v>0</v>
      </c>
      <c r="E115" s="2"/>
      <c r="F115" s="19">
        <f t="shared" si="17"/>
        <v>0</v>
      </c>
      <c r="G115" s="2"/>
      <c r="H115" s="2">
        <v>4680.5600000000004</v>
      </c>
      <c r="I115" s="2"/>
      <c r="J115" s="19">
        <f t="shared" si="18"/>
        <v>2.2408316343709772E-3</v>
      </c>
      <c r="K115" s="2"/>
      <c r="L115" s="2">
        <f t="shared" si="19"/>
        <v>-4680.5600000000004</v>
      </c>
      <c r="M115" s="2"/>
      <c r="N115" s="19">
        <f t="shared" si="20"/>
        <v>-1</v>
      </c>
      <c r="O115" s="11"/>
      <c r="P115" s="2">
        <v>0</v>
      </c>
      <c r="Q115" s="2"/>
      <c r="R115" s="19">
        <f t="shared" si="21"/>
        <v>0</v>
      </c>
      <c r="S115" s="2"/>
      <c r="T115" s="2">
        <v>5483.28</v>
      </c>
      <c r="U115" s="2"/>
      <c r="V115" s="19">
        <f t="shared" si="22"/>
        <v>2.1721168745194755E-3</v>
      </c>
      <c r="W115" s="2"/>
      <c r="X115" s="2">
        <f t="shared" si="23"/>
        <v>-5483.28</v>
      </c>
      <c r="Y115" s="2"/>
      <c r="Z115" s="19">
        <f t="shared" si="24"/>
        <v>-1</v>
      </c>
    </row>
    <row r="116" spans="1:26" s="24" customFormat="1" hidden="1" outlineLevel="1" x14ac:dyDescent="0.3">
      <c r="A116" s="44"/>
      <c r="B116" s="11" t="str">
        <f>CONCATENATE("          ", "5502", " - ", "FREIGHT-IN-USED TEXT")</f>
        <v xml:space="preserve">          5502 - FREIGHT-IN-USED TEXT</v>
      </c>
      <c r="C116" s="11"/>
      <c r="D116" s="2">
        <v>0</v>
      </c>
      <c r="E116" s="2"/>
      <c r="F116" s="19">
        <f t="shared" si="17"/>
        <v>0</v>
      </c>
      <c r="G116" s="2"/>
      <c r="H116" s="2">
        <v>1186.6600000000001</v>
      </c>
      <c r="I116" s="2"/>
      <c r="J116" s="19">
        <f t="shared" si="18"/>
        <v>5.6811690636220102E-4</v>
      </c>
      <c r="K116" s="2"/>
      <c r="L116" s="2">
        <f t="shared" si="19"/>
        <v>-1186.6600000000001</v>
      </c>
      <c r="M116" s="2"/>
      <c r="N116" s="19">
        <f t="shared" si="20"/>
        <v>-1</v>
      </c>
      <c r="O116" s="11"/>
      <c r="P116" s="2">
        <v>0</v>
      </c>
      <c r="Q116" s="2"/>
      <c r="R116" s="19">
        <f t="shared" si="21"/>
        <v>0</v>
      </c>
      <c r="S116" s="2"/>
      <c r="T116" s="2">
        <v>1234.55</v>
      </c>
      <c r="U116" s="2"/>
      <c r="V116" s="19">
        <f t="shared" si="22"/>
        <v>4.8904795805394189E-4</v>
      </c>
      <c r="W116" s="2"/>
      <c r="X116" s="2">
        <f t="shared" si="23"/>
        <v>-1234.55</v>
      </c>
      <c r="Y116" s="2"/>
      <c r="Z116" s="19">
        <f t="shared" si="24"/>
        <v>-1</v>
      </c>
    </row>
    <row r="117" spans="1:26" s="24" customFormat="1" hidden="1" outlineLevel="1" x14ac:dyDescent="0.3">
      <c r="A117" s="44"/>
      <c r="B117" s="11" t="str">
        <f>CONCATENATE("          ", "5518", " - ", "FREIGHT-IN-STUDY GUIDES")</f>
        <v xml:space="preserve">          5518 - FREIGHT-IN-STUDY GUIDES</v>
      </c>
      <c r="C117" s="11"/>
      <c r="D117" s="2"/>
      <c r="E117" s="2"/>
      <c r="F117" s="19">
        <f t="shared" si="17"/>
        <v>0</v>
      </c>
      <c r="G117" s="2"/>
      <c r="H117" s="2"/>
      <c r="I117" s="2"/>
      <c r="J117" s="19">
        <f t="shared" si="18"/>
        <v>0</v>
      </c>
      <c r="K117" s="2"/>
      <c r="L117" s="2">
        <f t="shared" si="19"/>
        <v>0</v>
      </c>
      <c r="M117" s="2"/>
      <c r="N117" s="19">
        <f t="shared" si="20"/>
        <v>0</v>
      </c>
      <c r="O117" s="11"/>
      <c r="P117" s="2">
        <v>0</v>
      </c>
      <c r="Q117" s="2"/>
      <c r="R117" s="19">
        <f t="shared" si="21"/>
        <v>0</v>
      </c>
      <c r="S117" s="2"/>
      <c r="T117" s="2"/>
      <c r="U117" s="2"/>
      <c r="V117" s="19">
        <f t="shared" si="22"/>
        <v>0</v>
      </c>
      <c r="W117" s="2"/>
      <c r="X117" s="2">
        <f t="shared" si="23"/>
        <v>0</v>
      </c>
      <c r="Y117" s="2"/>
      <c r="Z117" s="19">
        <f t="shared" si="24"/>
        <v>0</v>
      </c>
    </row>
    <row r="118" spans="1:26" s="24" customFormat="1" hidden="1" outlineLevel="1" x14ac:dyDescent="0.3">
      <c r="A118" s="44"/>
      <c r="B118" s="11" t="str">
        <f>CONCATENATE("          ", "5527", " - ", "FREIGHT-IN-SCHOOL SUPPLIES")</f>
        <v xml:space="preserve">          5527 - FREIGHT-IN-SCHOOL SUPPLIES</v>
      </c>
      <c r="C118" s="11"/>
      <c r="D118" s="2">
        <v>0</v>
      </c>
      <c r="E118" s="2"/>
      <c r="F118" s="19">
        <f t="shared" si="17"/>
        <v>0</v>
      </c>
      <c r="G118" s="2"/>
      <c r="H118" s="2"/>
      <c r="I118" s="2"/>
      <c r="J118" s="19">
        <f t="shared" si="18"/>
        <v>0</v>
      </c>
      <c r="K118" s="2"/>
      <c r="L118" s="2">
        <f t="shared" si="19"/>
        <v>0</v>
      </c>
      <c r="M118" s="2"/>
      <c r="N118" s="19">
        <f t="shared" si="20"/>
        <v>0</v>
      </c>
      <c r="O118" s="11"/>
      <c r="P118" s="2">
        <v>0</v>
      </c>
      <c r="Q118" s="2"/>
      <c r="R118" s="19">
        <f t="shared" si="21"/>
        <v>0</v>
      </c>
      <c r="S118" s="2"/>
      <c r="T118" s="2"/>
      <c r="U118" s="2"/>
      <c r="V118" s="19">
        <f t="shared" si="22"/>
        <v>0</v>
      </c>
      <c r="W118" s="2"/>
      <c r="X118" s="2">
        <f t="shared" si="23"/>
        <v>0</v>
      </c>
      <c r="Y118" s="2"/>
      <c r="Z118" s="19">
        <f t="shared" si="24"/>
        <v>0</v>
      </c>
    </row>
    <row r="119" spans="1:26" s="24" customFormat="1" hidden="1" outlineLevel="1" x14ac:dyDescent="0.3">
      <c r="A119" s="44"/>
      <c r="B119" s="11" t="str">
        <f>CONCATENATE("          ", "5528", " - ", "FREIGHT-IN-ART/TECH")</f>
        <v xml:space="preserve">          5528 - FREIGHT-IN-ART/TECH</v>
      </c>
      <c r="C119" s="11"/>
      <c r="D119" s="2">
        <v>0</v>
      </c>
      <c r="E119" s="2"/>
      <c r="F119" s="19">
        <f t="shared" si="17"/>
        <v>0</v>
      </c>
      <c r="G119" s="2"/>
      <c r="H119" s="2"/>
      <c r="I119" s="2"/>
      <c r="J119" s="19">
        <f t="shared" si="18"/>
        <v>0</v>
      </c>
      <c r="K119" s="2"/>
      <c r="L119" s="2">
        <f t="shared" si="19"/>
        <v>0</v>
      </c>
      <c r="M119" s="2"/>
      <c r="N119" s="19">
        <f t="shared" si="20"/>
        <v>0</v>
      </c>
      <c r="O119" s="11"/>
      <c r="P119" s="2">
        <v>0</v>
      </c>
      <c r="Q119" s="2"/>
      <c r="R119" s="19">
        <f t="shared" si="21"/>
        <v>0</v>
      </c>
      <c r="S119" s="2"/>
      <c r="T119" s="2">
        <v>38.049999999999997</v>
      </c>
      <c r="U119" s="2"/>
      <c r="V119" s="19">
        <f t="shared" si="22"/>
        <v>1.5072921148558171E-5</v>
      </c>
      <c r="W119" s="2"/>
      <c r="X119" s="2">
        <f t="shared" si="23"/>
        <v>-38.049999999999997</v>
      </c>
      <c r="Y119" s="2"/>
      <c r="Z119" s="19">
        <f t="shared" si="24"/>
        <v>-1</v>
      </c>
    </row>
    <row r="120" spans="1:26" s="24" customFormat="1" hidden="1" outlineLevel="1" x14ac:dyDescent="0.3">
      <c r="A120" s="44"/>
      <c r="B120" s="11" t="str">
        <f>CONCATENATE("          ", "5540", " - ", "FREIGHT-IN-LOGO CLOTHING")</f>
        <v xml:space="preserve">          5540 - FREIGHT-IN-LOGO CLOTHING</v>
      </c>
      <c r="C120" s="11"/>
      <c r="D120" s="2">
        <v>0</v>
      </c>
      <c r="E120" s="2"/>
      <c r="F120" s="19">
        <f t="shared" si="17"/>
        <v>0</v>
      </c>
      <c r="G120" s="2"/>
      <c r="H120" s="2">
        <v>1021.7</v>
      </c>
      <c r="I120" s="2"/>
      <c r="J120" s="19">
        <f t="shared" si="18"/>
        <v>4.8914182936162073E-4</v>
      </c>
      <c r="K120" s="2"/>
      <c r="L120" s="2">
        <f t="shared" si="19"/>
        <v>-1021.7</v>
      </c>
      <c r="M120" s="2"/>
      <c r="N120" s="19">
        <f t="shared" si="20"/>
        <v>-1</v>
      </c>
      <c r="O120" s="11"/>
      <c r="P120" s="2">
        <v>0</v>
      </c>
      <c r="Q120" s="2"/>
      <c r="R120" s="19">
        <f t="shared" si="21"/>
        <v>0</v>
      </c>
      <c r="S120" s="2"/>
      <c r="T120" s="2">
        <v>1931.53</v>
      </c>
      <c r="U120" s="2"/>
      <c r="V120" s="19">
        <f t="shared" si="22"/>
        <v>7.6514584457489001E-4</v>
      </c>
      <c r="W120" s="2"/>
      <c r="X120" s="2">
        <f t="shared" si="23"/>
        <v>-1931.53</v>
      </c>
      <c r="Y120" s="2"/>
      <c r="Z120" s="19">
        <f t="shared" si="24"/>
        <v>-1</v>
      </c>
    </row>
    <row r="121" spans="1:26" s="24" customFormat="1" hidden="1" outlineLevel="1" x14ac:dyDescent="0.3">
      <c r="A121" s="44"/>
      <c r="B121" s="11" t="str">
        <f>CONCATENATE("          ", "5541", " - ", "FREIGHT-IN-LOGO GIFTS")</f>
        <v xml:space="preserve">          5541 - FREIGHT-IN-LOGO GIFTS</v>
      </c>
      <c r="C121" s="11"/>
      <c r="D121" s="2">
        <v>0</v>
      </c>
      <c r="E121" s="2"/>
      <c r="F121" s="19">
        <f t="shared" si="17"/>
        <v>0</v>
      </c>
      <c r="G121" s="2"/>
      <c r="H121" s="2">
        <v>123.12</v>
      </c>
      <c r="I121" s="2"/>
      <c r="J121" s="19">
        <f t="shared" si="18"/>
        <v>5.8944056015467103E-5</v>
      </c>
      <c r="K121" s="2"/>
      <c r="L121" s="2">
        <f t="shared" si="19"/>
        <v>-123.12</v>
      </c>
      <c r="M121" s="2"/>
      <c r="N121" s="19">
        <f t="shared" si="20"/>
        <v>-1</v>
      </c>
      <c r="O121" s="11"/>
      <c r="P121" s="2">
        <v>0</v>
      </c>
      <c r="Q121" s="2"/>
      <c r="R121" s="19">
        <f t="shared" si="21"/>
        <v>0</v>
      </c>
      <c r="S121" s="2"/>
      <c r="T121" s="2">
        <v>206.7</v>
      </c>
      <c r="U121" s="2"/>
      <c r="V121" s="19">
        <f t="shared" si="22"/>
        <v>8.1881019747883678E-5</v>
      </c>
      <c r="W121" s="2"/>
      <c r="X121" s="2">
        <f t="shared" si="23"/>
        <v>-206.7</v>
      </c>
      <c r="Y121" s="2"/>
      <c r="Z121" s="19">
        <f t="shared" si="24"/>
        <v>-1</v>
      </c>
    </row>
    <row r="122" spans="1:26" s="24" customFormat="1" hidden="1" outlineLevel="1" x14ac:dyDescent="0.3">
      <c r="A122" s="44"/>
      <c r="B122" s="11" t="str">
        <f>CONCATENATE("          ", "5542", " - ", "FREIGHT-IN-EVERYDAY GIFTS")</f>
        <v xml:space="preserve">          5542 - FREIGHT-IN-EVERYDAY GIFTS</v>
      </c>
      <c r="C122" s="11"/>
      <c r="D122" s="2">
        <v>0</v>
      </c>
      <c r="E122" s="2"/>
      <c r="F122" s="19">
        <f t="shared" si="17"/>
        <v>0</v>
      </c>
      <c r="G122" s="2"/>
      <c r="H122" s="2"/>
      <c r="I122" s="2"/>
      <c r="J122" s="19">
        <f t="shared" si="18"/>
        <v>0</v>
      </c>
      <c r="K122" s="2"/>
      <c r="L122" s="2">
        <f t="shared" si="19"/>
        <v>0</v>
      </c>
      <c r="M122" s="2"/>
      <c r="N122" s="19">
        <f t="shared" si="20"/>
        <v>0</v>
      </c>
      <c r="O122" s="11"/>
      <c r="P122" s="2">
        <v>0</v>
      </c>
      <c r="Q122" s="2"/>
      <c r="R122" s="19">
        <f t="shared" si="21"/>
        <v>0</v>
      </c>
      <c r="S122" s="2"/>
      <c r="T122" s="2">
        <v>5.94</v>
      </c>
      <c r="U122" s="2"/>
      <c r="V122" s="19">
        <f t="shared" si="22"/>
        <v>2.353039464452971E-6</v>
      </c>
      <c r="W122" s="2"/>
      <c r="X122" s="2">
        <f t="shared" si="23"/>
        <v>-5.94</v>
      </c>
      <c r="Y122" s="2"/>
      <c r="Z122" s="19">
        <f t="shared" si="24"/>
        <v>-1</v>
      </c>
    </row>
    <row r="123" spans="1:26" s="24" customFormat="1" hidden="1" outlineLevel="1" x14ac:dyDescent="0.3">
      <c r="A123" s="44"/>
      <c r="B123" s="11" t="str">
        <f>CONCATENATE("          ", "5544", " - ", "FREIGHT-IN-ACCESSORIES")</f>
        <v xml:space="preserve">          5544 - FREIGHT-IN-ACCESSORIES</v>
      </c>
      <c r="C123" s="11"/>
      <c r="D123" s="2">
        <v>0</v>
      </c>
      <c r="E123" s="2"/>
      <c r="F123" s="19">
        <f t="shared" si="17"/>
        <v>0</v>
      </c>
      <c r="G123" s="2"/>
      <c r="H123" s="2"/>
      <c r="I123" s="2"/>
      <c r="J123" s="19">
        <f t="shared" si="18"/>
        <v>0</v>
      </c>
      <c r="K123" s="2"/>
      <c r="L123" s="2">
        <f t="shared" si="19"/>
        <v>0</v>
      </c>
      <c r="M123" s="2"/>
      <c r="N123" s="19">
        <f t="shared" si="20"/>
        <v>0</v>
      </c>
      <c r="O123" s="11"/>
      <c r="P123" s="2">
        <v>0</v>
      </c>
      <c r="Q123" s="2"/>
      <c r="R123" s="19">
        <f t="shared" si="21"/>
        <v>0</v>
      </c>
      <c r="S123" s="2"/>
      <c r="T123" s="2"/>
      <c r="U123" s="2"/>
      <c r="V123" s="19">
        <f t="shared" si="22"/>
        <v>0</v>
      </c>
      <c r="W123" s="2"/>
      <c r="X123" s="2">
        <f t="shared" si="23"/>
        <v>0</v>
      </c>
      <c r="Y123" s="2"/>
      <c r="Z123" s="19">
        <f t="shared" si="24"/>
        <v>0</v>
      </c>
    </row>
    <row r="124" spans="1:26" s="24" customFormat="1" hidden="1" outlineLevel="1" x14ac:dyDescent="0.3">
      <c r="A124" s="44"/>
      <c r="B124" s="11" t="str">
        <f>CONCATENATE("          ", "5545", " - ", "FREIGHT-IN-SPECIAL ORDERS")</f>
        <v xml:space="preserve">          5545 - FREIGHT-IN-SPECIAL ORDERS</v>
      </c>
      <c r="C124" s="11"/>
      <c r="D124" s="2">
        <v>0</v>
      </c>
      <c r="E124" s="2"/>
      <c r="F124" s="19">
        <f t="shared" si="17"/>
        <v>0</v>
      </c>
      <c r="G124" s="2"/>
      <c r="H124" s="2">
        <v>145.6</v>
      </c>
      <c r="I124" s="2"/>
      <c r="J124" s="19">
        <f t="shared" si="18"/>
        <v>6.9706421018940942E-5</v>
      </c>
      <c r="K124" s="2"/>
      <c r="L124" s="2">
        <f t="shared" si="19"/>
        <v>-145.6</v>
      </c>
      <c r="M124" s="2"/>
      <c r="N124" s="19">
        <f t="shared" si="20"/>
        <v>-1</v>
      </c>
      <c r="O124" s="11"/>
      <c r="P124" s="2">
        <v>0</v>
      </c>
      <c r="Q124" s="2"/>
      <c r="R124" s="19">
        <f t="shared" si="21"/>
        <v>0</v>
      </c>
      <c r="S124" s="2"/>
      <c r="T124" s="2">
        <v>446</v>
      </c>
      <c r="U124" s="2"/>
      <c r="V124" s="19">
        <f t="shared" si="22"/>
        <v>1.7667602712896044E-4</v>
      </c>
      <c r="W124" s="2"/>
      <c r="X124" s="2">
        <f t="shared" si="23"/>
        <v>-446</v>
      </c>
      <c r="Y124" s="2"/>
      <c r="Z124" s="19">
        <f t="shared" si="24"/>
        <v>-1</v>
      </c>
    </row>
    <row r="125" spans="1:26" s="24" customFormat="1" hidden="1" outlineLevel="1" x14ac:dyDescent="0.3">
      <c r="A125" s="44"/>
      <c r="B125" s="11" t="str">
        <f>CONCATENATE("          ", "5583", " - ", "FREIGHT-IN-COMPUTER EQUIPMENT")</f>
        <v xml:space="preserve">          5583 - FREIGHT-IN-COMPUTER EQUIPMENT</v>
      </c>
      <c r="C125" s="11"/>
      <c r="D125" s="2">
        <v>0</v>
      </c>
      <c r="E125" s="2"/>
      <c r="F125" s="19">
        <f t="shared" si="17"/>
        <v>0</v>
      </c>
      <c r="G125" s="2"/>
      <c r="H125" s="2"/>
      <c r="I125" s="2"/>
      <c r="J125" s="19">
        <f t="shared" si="18"/>
        <v>0</v>
      </c>
      <c r="K125" s="2"/>
      <c r="L125" s="2">
        <f t="shared" si="19"/>
        <v>0</v>
      </c>
      <c r="M125" s="2"/>
      <c r="N125" s="19">
        <f t="shared" si="20"/>
        <v>0</v>
      </c>
      <c r="O125" s="11"/>
      <c r="P125" s="2">
        <v>0</v>
      </c>
      <c r="Q125" s="2"/>
      <c r="R125" s="19">
        <f t="shared" si="21"/>
        <v>0</v>
      </c>
      <c r="S125" s="2"/>
      <c r="T125" s="2">
        <v>17.39</v>
      </c>
      <c r="U125" s="2"/>
      <c r="V125" s="19">
        <f t="shared" si="22"/>
        <v>6.888780519669556E-6</v>
      </c>
      <c r="W125" s="2"/>
      <c r="X125" s="2">
        <f t="shared" si="23"/>
        <v>-17.39</v>
      </c>
      <c r="Y125" s="2"/>
      <c r="Z125" s="19">
        <f t="shared" si="24"/>
        <v>-1</v>
      </c>
    </row>
    <row r="126" spans="1:26" s="24" customFormat="1" hidden="1" outlineLevel="1" x14ac:dyDescent="0.3">
      <c r="A126" s="44"/>
      <c r="B126" s="11" t="str">
        <f>CONCATENATE("          ", "5586", " - ", "FREIGHT-IN-COMPUTER SUPPLIES")</f>
        <v xml:space="preserve">          5586 - FREIGHT-IN-COMPUTER SUPPLIES</v>
      </c>
      <c r="C126" s="11"/>
      <c r="D126" s="2"/>
      <c r="E126" s="2"/>
      <c r="F126" s="19">
        <f t="shared" si="17"/>
        <v>0</v>
      </c>
      <c r="G126" s="2"/>
      <c r="H126" s="2">
        <v>24.12</v>
      </c>
      <c r="I126" s="2"/>
      <c r="J126" s="19">
        <f t="shared" si="18"/>
        <v>1.1547519745720164E-5</v>
      </c>
      <c r="K126" s="2"/>
      <c r="L126" s="2">
        <f t="shared" si="19"/>
        <v>-24.12</v>
      </c>
      <c r="M126" s="2"/>
      <c r="N126" s="19">
        <f t="shared" si="20"/>
        <v>-1</v>
      </c>
      <c r="O126" s="11"/>
      <c r="P126" s="2"/>
      <c r="Q126" s="2"/>
      <c r="R126" s="19">
        <f t="shared" si="21"/>
        <v>0</v>
      </c>
      <c r="S126" s="2"/>
      <c r="T126" s="2">
        <v>24.12</v>
      </c>
      <c r="U126" s="2"/>
      <c r="V126" s="19">
        <f t="shared" si="22"/>
        <v>9.5547663102029732E-6</v>
      </c>
      <c r="W126" s="2"/>
      <c r="X126" s="2">
        <f t="shared" si="23"/>
        <v>-24.12</v>
      </c>
      <c r="Y126" s="2"/>
      <c r="Z126" s="19">
        <f t="shared" si="24"/>
        <v>-1</v>
      </c>
    </row>
    <row r="127" spans="1:26" s="24" customFormat="1" hidden="1" outlineLevel="1" x14ac:dyDescent="0.3">
      <c r="A127" s="44"/>
      <c r="B127" s="11" t="str">
        <f>CONCATENATE("          ", "5592", " - ", "FREIGHT-IN-GRAD MERCH")</f>
        <v xml:space="preserve">          5592 - FREIGHT-IN-GRAD MERCH</v>
      </c>
      <c r="C127" s="11"/>
      <c r="D127" s="2"/>
      <c r="E127" s="2"/>
      <c r="F127" s="19">
        <f t="shared" si="17"/>
        <v>0</v>
      </c>
      <c r="G127" s="2"/>
      <c r="H127" s="2"/>
      <c r="I127" s="2"/>
      <c r="J127" s="19">
        <f t="shared" si="18"/>
        <v>0</v>
      </c>
      <c r="K127" s="2"/>
      <c r="L127" s="2">
        <f t="shared" si="19"/>
        <v>0</v>
      </c>
      <c r="M127" s="2"/>
      <c r="N127" s="19">
        <f t="shared" si="20"/>
        <v>0</v>
      </c>
      <c r="O127" s="11"/>
      <c r="P127" s="2"/>
      <c r="Q127" s="2"/>
      <c r="R127" s="19">
        <f t="shared" si="21"/>
        <v>0</v>
      </c>
      <c r="S127" s="2"/>
      <c r="T127" s="2">
        <v>0</v>
      </c>
      <c r="U127" s="2"/>
      <c r="V127" s="19">
        <f t="shared" si="22"/>
        <v>0</v>
      </c>
      <c r="W127" s="2"/>
      <c r="X127" s="2">
        <f t="shared" si="23"/>
        <v>0</v>
      </c>
      <c r="Y127" s="2"/>
      <c r="Z127" s="19">
        <f t="shared" si="24"/>
        <v>0</v>
      </c>
    </row>
    <row r="128" spans="1:26" x14ac:dyDescent="0.3">
      <c r="A128" s="9"/>
      <c r="B128" s="10"/>
      <c r="C128" s="10"/>
      <c r="D128" s="3"/>
      <c r="E128" s="3"/>
      <c r="F128" s="6"/>
      <c r="G128" s="3"/>
      <c r="H128" s="3"/>
      <c r="I128" s="3"/>
      <c r="J128" s="6"/>
      <c r="K128" s="3"/>
      <c r="L128" s="3"/>
      <c r="M128" s="3"/>
      <c r="N128" s="6"/>
      <c r="O128" s="10"/>
      <c r="P128" s="3"/>
      <c r="Q128" s="3"/>
      <c r="R128" s="6"/>
      <c r="S128" s="3"/>
      <c r="T128" s="3"/>
      <c r="U128" s="3"/>
      <c r="V128" s="6"/>
      <c r="W128" s="3"/>
      <c r="X128" s="3"/>
      <c r="Y128" s="3"/>
      <c r="Z128" s="6"/>
    </row>
    <row r="129" spans="1:26" s="23" customFormat="1" x14ac:dyDescent="0.3">
      <c r="A129" s="10"/>
      <c r="B129" s="25" t="s">
        <v>107</v>
      </c>
      <c r="C129" s="25"/>
      <c r="D129" s="20">
        <f>D12-D88</f>
        <v>572036.92000000016</v>
      </c>
      <c r="E129" s="13"/>
      <c r="F129" s="22">
        <f>IF(D$12=0,0,D129/D$12)</f>
        <v>0.30818164834021877</v>
      </c>
      <c r="G129" s="13"/>
      <c r="H129" s="20">
        <f>H12-H88</f>
        <v>528873.17000000062</v>
      </c>
      <c r="I129" s="13"/>
      <c r="J129" s="22">
        <f>IF(H$12=0,0,H129/H$12)</f>
        <v>0.25319955943435424</v>
      </c>
      <c r="K129" s="15"/>
      <c r="L129" s="20">
        <f>+D129-H129</f>
        <v>43163.749999999534</v>
      </c>
      <c r="M129" s="15"/>
      <c r="N129" s="22">
        <f>IF(H129=0,0,L129/H129)</f>
        <v>8.1614557985612096E-2</v>
      </c>
      <c r="O129" s="26"/>
      <c r="P129" s="20">
        <f>P12-P88</f>
        <v>678048.52999999956</v>
      </c>
      <c r="Q129" s="13"/>
      <c r="R129" s="22">
        <f>IF(P$12=0,0,P129/P$12)</f>
        <v>0.31218098641339165</v>
      </c>
      <c r="S129" s="13"/>
      <c r="T129" s="20">
        <f>T12-T88</f>
        <v>639156.22000000044</v>
      </c>
      <c r="U129" s="13"/>
      <c r="V129" s="22">
        <f>IF(T$12=0,0,T129/T$12)</f>
        <v>0.25319188713982932</v>
      </c>
      <c r="W129" s="15"/>
      <c r="X129" s="20">
        <f>+P129-T129</f>
        <v>38892.309999999125</v>
      </c>
      <c r="Y129" s="15"/>
      <c r="Z129" s="22">
        <f>IF(T129=0,0,X129/T129)</f>
        <v>6.0849458681633571E-2</v>
      </c>
    </row>
    <row r="130" spans="1:26" x14ac:dyDescent="0.3">
      <c r="A130" s="9"/>
      <c r="B130" s="10"/>
      <c r="C130" s="9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7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x14ac:dyDescent="0.3">
      <c r="A131" s="10"/>
      <c r="B131" s="26" t="s">
        <v>294</v>
      </c>
      <c r="C131" s="10"/>
      <c r="D131" s="21">
        <f>SUM(OSRRefD22x_0)</f>
        <v>354002.82</v>
      </c>
      <c r="E131" s="21"/>
      <c r="F131" s="32">
        <f t="shared" ref="F131:F142" si="25">IF(D$12=0,0,D131/D$12)</f>
        <v>0.19071701278421982</v>
      </c>
      <c r="G131" s="21"/>
      <c r="H131" s="21">
        <f>SUM(OSRRefH22x_0)</f>
        <v>239023.71</v>
      </c>
      <c r="I131" s="21"/>
      <c r="J131" s="32">
        <f t="shared" ref="J131:J142" si="26">IF(H$12=0,0,H131/H$12)</f>
        <v>0.11443329232671186</v>
      </c>
      <c r="K131" s="4"/>
      <c r="L131" s="21">
        <f t="shared" ref="L131:L142" si="27">+D131-H131</f>
        <v>114979.11000000002</v>
      </c>
      <c r="M131" s="4"/>
      <c r="N131" s="32">
        <f t="shared" ref="N131:N142" si="28">IF(H131=0,0,L131/H131)</f>
        <v>0.48103642103120237</v>
      </c>
      <c r="O131" s="10"/>
      <c r="P131" s="21">
        <f>SUM(OSRRefP22x_0)</f>
        <v>734317.82000000007</v>
      </c>
      <c r="Q131" s="21"/>
      <c r="R131" s="32">
        <f t="shared" ref="R131:R142" si="29">IF(P$12=0,0,P131/P$12)</f>
        <v>0.33808798521918709</v>
      </c>
      <c r="S131" s="21"/>
      <c r="T131" s="21">
        <f>SUM(OSRRefT22x_0)</f>
        <v>569404.17000000004</v>
      </c>
      <c r="U131" s="21"/>
      <c r="V131" s="32">
        <f t="shared" ref="V131:V142" si="30">IF(T$12=0,0,T131/T$12)</f>
        <v>0.22556068741314619</v>
      </c>
      <c r="W131" s="4"/>
      <c r="X131" s="21">
        <f t="shared" ref="X131:X142" si="31">+P131-T131</f>
        <v>164913.65000000002</v>
      </c>
      <c r="Y131" s="4"/>
      <c r="Z131" s="32">
        <f t="shared" ref="Z131:Z142" si="32">IF(T131=0,0,X131/T131)</f>
        <v>0.28962494250788506</v>
      </c>
    </row>
    <row r="132" spans="1:26" s="28" customFormat="1" outlineLevel="1" collapsed="1" x14ac:dyDescent="0.3">
      <c r="A132" s="29"/>
      <c r="B132" s="14" t="str">
        <f>CONCATENATE("     ","*Benefits                                         ")</f>
        <v xml:space="preserve">     *Benefits                                         </v>
      </c>
      <c r="C132" s="14"/>
      <c r="D132" s="1">
        <f>SUM(OSRRefD22_0x_0)</f>
        <v>53095.48000000001</v>
      </c>
      <c r="E132" s="1"/>
      <c r="F132" s="5">
        <f t="shared" si="25"/>
        <v>2.8604888904399942E-2</v>
      </c>
      <c r="G132" s="1"/>
      <c r="H132" s="1">
        <f>SUM(OSRRefH22_0x_0)</f>
        <v>48289.410000000011</v>
      </c>
      <c r="I132" s="1"/>
      <c r="J132" s="5">
        <f t="shared" si="26"/>
        <v>2.311869467181496E-2</v>
      </c>
      <c r="K132" s="1"/>
      <c r="L132" s="1">
        <f t="shared" si="27"/>
        <v>4806.07</v>
      </c>
      <c r="M132" s="1"/>
      <c r="N132" s="5">
        <f t="shared" si="28"/>
        <v>9.9526376487101387E-2</v>
      </c>
      <c r="O132" s="14"/>
      <c r="P132" s="1">
        <f>SUM(OSRRefP22_0x_0)</f>
        <v>102681.43999999999</v>
      </c>
      <c r="Q132" s="1"/>
      <c r="R132" s="5">
        <f t="shared" si="29"/>
        <v>4.7275662149945968E-2</v>
      </c>
      <c r="S132" s="1"/>
      <c r="T132" s="1">
        <f>SUM(OSRRefT22_0x_0)</f>
        <v>91684.25</v>
      </c>
      <c r="U132" s="1"/>
      <c r="V132" s="5">
        <f t="shared" si="30"/>
        <v>3.6319302780938097E-2</v>
      </c>
      <c r="W132" s="1"/>
      <c r="X132" s="1">
        <f t="shared" si="31"/>
        <v>10997.189999999988</v>
      </c>
      <c r="Y132" s="1"/>
      <c r="Z132" s="5">
        <f t="shared" si="32"/>
        <v>0.11994633756615763</v>
      </c>
    </row>
    <row r="133" spans="1:26" s="24" customFormat="1" hidden="1" outlineLevel="2" x14ac:dyDescent="0.3">
      <c r="A133" s="27"/>
      <c r="B133" s="11" t="str">
        <f>CONCATENATE("          ", "6111", " - ", "F.I.C.A.")</f>
        <v xml:space="preserve">          6111 - F.I.C.A.</v>
      </c>
      <c r="C133" s="11"/>
      <c r="D133" s="7">
        <v>12726.71</v>
      </c>
      <c r="E133" s="2"/>
      <c r="F133" s="8">
        <f t="shared" si="25"/>
        <v>6.8564428774071859E-3</v>
      </c>
      <c r="G133" s="2"/>
      <c r="H133" s="7">
        <v>11355.03</v>
      </c>
      <c r="I133" s="2"/>
      <c r="J133" s="8">
        <f t="shared" si="26"/>
        <v>5.4362534468592382E-3</v>
      </c>
      <c r="K133" s="2"/>
      <c r="L133" s="7">
        <f t="shared" si="27"/>
        <v>1371.6799999999985</v>
      </c>
      <c r="M133" s="2"/>
      <c r="N133" s="8">
        <f t="shared" si="28"/>
        <v>0.12079932857949283</v>
      </c>
      <c r="O133" s="11"/>
      <c r="P133" s="7">
        <v>23008.28</v>
      </c>
      <c r="Q133" s="2"/>
      <c r="R133" s="8">
        <f t="shared" si="29"/>
        <v>1.0593264682803036E-2</v>
      </c>
      <c r="S133" s="2"/>
      <c r="T133" s="7">
        <v>19341.77</v>
      </c>
      <c r="U133" s="2"/>
      <c r="V133" s="8">
        <f t="shared" si="30"/>
        <v>7.6619441283455455E-3</v>
      </c>
      <c r="W133" s="2"/>
      <c r="X133" s="7">
        <f t="shared" si="31"/>
        <v>3666.5099999999984</v>
      </c>
      <c r="Y133" s="2"/>
      <c r="Z133" s="8">
        <f t="shared" si="32"/>
        <v>0.18956434700650449</v>
      </c>
    </row>
    <row r="134" spans="1:26" s="24" customFormat="1" hidden="1" outlineLevel="2" x14ac:dyDescent="0.3">
      <c r="A134" s="27"/>
      <c r="B134" s="11" t="str">
        <f>CONCATENATE("          ", "6112", " - ", "COMPENSATION INSURANCE")</f>
        <v xml:space="preserve">          6112 - COMPENSATION INSURANCE</v>
      </c>
      <c r="C134" s="11"/>
      <c r="D134" s="7">
        <v>2652.38</v>
      </c>
      <c r="E134" s="2"/>
      <c r="F134" s="8">
        <f t="shared" si="25"/>
        <v>1.4289546912892078E-3</v>
      </c>
      <c r="G134" s="2"/>
      <c r="H134" s="7">
        <v>2455.96</v>
      </c>
      <c r="I134" s="2"/>
      <c r="J134" s="8">
        <f t="shared" si="26"/>
        <v>1.1757979516873504E-3</v>
      </c>
      <c r="K134" s="2"/>
      <c r="L134" s="7">
        <f t="shared" si="27"/>
        <v>196.42000000000007</v>
      </c>
      <c r="M134" s="2"/>
      <c r="N134" s="8">
        <f t="shared" si="28"/>
        <v>7.9976872587501455E-2</v>
      </c>
      <c r="O134" s="11"/>
      <c r="P134" s="7">
        <v>4803.1499999999996</v>
      </c>
      <c r="Q134" s="2"/>
      <c r="R134" s="8">
        <f t="shared" si="29"/>
        <v>2.2114229860383046E-3</v>
      </c>
      <c r="S134" s="2"/>
      <c r="T134" s="7">
        <v>4288.04</v>
      </c>
      <c r="U134" s="2"/>
      <c r="V134" s="8">
        <f t="shared" si="30"/>
        <v>1.6986409671974608E-3</v>
      </c>
      <c r="W134" s="2"/>
      <c r="X134" s="7">
        <f t="shared" si="31"/>
        <v>515.10999999999967</v>
      </c>
      <c r="Y134" s="2"/>
      <c r="Z134" s="8">
        <f t="shared" si="32"/>
        <v>0.12012714433634007</v>
      </c>
    </row>
    <row r="135" spans="1:26" s="24" customFormat="1" hidden="1" outlineLevel="2" x14ac:dyDescent="0.3">
      <c r="A135" s="27"/>
      <c r="B135" s="11" t="str">
        <f>CONCATENATE("          ", "6113", " - ", "GROUP INSURANCE")</f>
        <v xml:space="preserve">          6113 - GROUP INSURANCE</v>
      </c>
      <c r="C135" s="11"/>
      <c r="D135" s="7">
        <v>18062.150000000001</v>
      </c>
      <c r="E135" s="2"/>
      <c r="F135" s="8">
        <f t="shared" si="25"/>
        <v>9.7308809360911203E-3</v>
      </c>
      <c r="G135" s="2"/>
      <c r="H135" s="7">
        <v>16571.080000000002</v>
      </c>
      <c r="I135" s="2"/>
      <c r="J135" s="8">
        <f t="shared" si="26"/>
        <v>7.9334524671603856E-3</v>
      </c>
      <c r="K135" s="2"/>
      <c r="L135" s="7">
        <f t="shared" si="27"/>
        <v>1491.0699999999997</v>
      </c>
      <c r="M135" s="2"/>
      <c r="N135" s="8">
        <f t="shared" si="28"/>
        <v>8.9980254757082795E-2</v>
      </c>
      <c r="O135" s="11"/>
      <c r="P135" s="7">
        <v>36786.92</v>
      </c>
      <c r="Q135" s="2"/>
      <c r="R135" s="8">
        <f t="shared" si="29"/>
        <v>1.6937101792272202E-2</v>
      </c>
      <c r="S135" s="2"/>
      <c r="T135" s="7">
        <v>31075.45</v>
      </c>
      <c r="U135" s="2"/>
      <c r="V135" s="8">
        <f t="shared" si="30"/>
        <v>1.2310060644046309E-2</v>
      </c>
      <c r="W135" s="2"/>
      <c r="X135" s="7">
        <f t="shared" si="31"/>
        <v>5711.4699999999975</v>
      </c>
      <c r="Y135" s="2"/>
      <c r="Z135" s="8">
        <f t="shared" si="32"/>
        <v>0.18379363774297708</v>
      </c>
    </row>
    <row r="136" spans="1:26" s="24" customFormat="1" hidden="1" outlineLevel="2" x14ac:dyDescent="0.3">
      <c r="A136" s="27"/>
      <c r="B136" s="11" t="str">
        <f>CONCATENATE("          ", "6114", " - ", "STATE UNEMPLOYMENT INSURANCE")</f>
        <v xml:space="preserve">          6114 - STATE UNEMPLOYMENT INSURANCE</v>
      </c>
      <c r="C136" s="11"/>
      <c r="D136" s="7">
        <v>480.4</v>
      </c>
      <c r="E136" s="2"/>
      <c r="F136" s="8">
        <f t="shared" si="25"/>
        <v>2.588127770890051E-4</v>
      </c>
      <c r="G136" s="2"/>
      <c r="H136" s="7">
        <v>393.65</v>
      </c>
      <c r="I136" s="2"/>
      <c r="J136" s="8">
        <f t="shared" si="26"/>
        <v>1.8846107578369576E-4</v>
      </c>
      <c r="K136" s="2"/>
      <c r="L136" s="7">
        <f t="shared" si="27"/>
        <v>86.75</v>
      </c>
      <c r="M136" s="2"/>
      <c r="N136" s="8">
        <f t="shared" si="28"/>
        <v>0.22037342817223424</v>
      </c>
      <c r="O136" s="11"/>
      <c r="P136" s="7">
        <v>869.09</v>
      </c>
      <c r="Q136" s="2"/>
      <c r="R136" s="8">
        <f t="shared" si="29"/>
        <v>4.0013857633761806E-4</v>
      </c>
      <c r="S136" s="2"/>
      <c r="T136" s="7">
        <v>683.2</v>
      </c>
      <c r="U136" s="2"/>
      <c r="V136" s="8">
        <f t="shared" si="30"/>
        <v>2.706391518710892E-4</v>
      </c>
      <c r="W136" s="2"/>
      <c r="X136" s="7">
        <f t="shared" si="31"/>
        <v>185.89</v>
      </c>
      <c r="Y136" s="2"/>
      <c r="Z136" s="8">
        <f t="shared" si="32"/>
        <v>0.27208723653395783</v>
      </c>
    </row>
    <row r="137" spans="1:26" s="24" customFormat="1" hidden="1" outlineLevel="2" x14ac:dyDescent="0.3">
      <c r="A137" s="27"/>
      <c r="B137" s="11" t="str">
        <f>CONCATENATE("          ", "6115", " - ", "P.E.R.S.")</f>
        <v xml:space="preserve">          6115 - P.E.R.S.</v>
      </c>
      <c r="C137" s="11"/>
      <c r="D137" s="7">
        <v>6395.48</v>
      </c>
      <c r="E137" s="2"/>
      <c r="F137" s="8">
        <f t="shared" si="25"/>
        <v>3.4455286003688391E-3</v>
      </c>
      <c r="G137" s="2"/>
      <c r="H137" s="7">
        <v>6331.99</v>
      </c>
      <c r="I137" s="2"/>
      <c r="J137" s="8">
        <f t="shared" si="26"/>
        <v>3.0314585221684334E-3</v>
      </c>
      <c r="K137" s="2"/>
      <c r="L137" s="7">
        <f t="shared" si="27"/>
        <v>63.489999999999782</v>
      </c>
      <c r="M137" s="2"/>
      <c r="N137" s="8">
        <f t="shared" si="28"/>
        <v>1.0026863592646195E-2</v>
      </c>
      <c r="O137" s="11"/>
      <c r="P137" s="7">
        <v>12825.61</v>
      </c>
      <c r="Q137" s="2"/>
      <c r="R137" s="8">
        <f t="shared" si="29"/>
        <v>5.9050516356896499E-3</v>
      </c>
      <c r="S137" s="2"/>
      <c r="T137" s="7">
        <v>14755.11</v>
      </c>
      <c r="U137" s="2"/>
      <c r="V137" s="8">
        <f t="shared" si="30"/>
        <v>5.8450094498896758E-3</v>
      </c>
      <c r="W137" s="2"/>
      <c r="X137" s="7">
        <f t="shared" si="31"/>
        <v>-1929.5</v>
      </c>
      <c r="Y137" s="2"/>
      <c r="Z137" s="8">
        <f t="shared" si="32"/>
        <v>-0.1307682558788108</v>
      </c>
    </row>
    <row r="138" spans="1:26" s="24" customFormat="1" hidden="1" outlineLevel="2" x14ac:dyDescent="0.3">
      <c r="A138" s="27"/>
      <c r="B138" s="11" t="str">
        <f>CONCATENATE("          ", "6116", " - ", "EDUCATIONAL BENEFITS")</f>
        <v xml:space="preserve">          6116 - EDUCATIONAL BENEFITS</v>
      </c>
      <c r="C138" s="11"/>
      <c r="D138" s="7"/>
      <c r="E138" s="2"/>
      <c r="F138" s="8">
        <f t="shared" si="25"/>
        <v>0</v>
      </c>
      <c r="G138" s="2"/>
      <c r="H138" s="7"/>
      <c r="I138" s="2"/>
      <c r="J138" s="8">
        <f t="shared" si="26"/>
        <v>0</v>
      </c>
      <c r="K138" s="2"/>
      <c r="L138" s="7">
        <f t="shared" si="27"/>
        <v>0</v>
      </c>
      <c r="M138" s="2"/>
      <c r="N138" s="8">
        <f t="shared" si="28"/>
        <v>0</v>
      </c>
      <c r="O138" s="11"/>
      <c r="P138" s="7"/>
      <c r="Q138" s="2"/>
      <c r="R138" s="8">
        <f t="shared" si="29"/>
        <v>0</v>
      </c>
      <c r="S138" s="2"/>
      <c r="T138" s="7">
        <v>0</v>
      </c>
      <c r="U138" s="2"/>
      <c r="V138" s="8">
        <f t="shared" si="30"/>
        <v>0</v>
      </c>
      <c r="W138" s="2"/>
      <c r="X138" s="7">
        <f t="shared" si="31"/>
        <v>0</v>
      </c>
      <c r="Y138" s="2"/>
      <c r="Z138" s="8">
        <f t="shared" si="32"/>
        <v>0</v>
      </c>
    </row>
    <row r="139" spans="1:26" s="24" customFormat="1" hidden="1" outlineLevel="2" x14ac:dyDescent="0.3">
      <c r="A139" s="27"/>
      <c r="B139" s="11" t="str">
        <f>CONCATENATE("          ", "6117", " - ", "RETIREMENT STAFF HOURLY")</f>
        <v xml:space="preserve">          6117 - RETIREMENT STAFF HOURLY</v>
      </c>
      <c r="C139" s="11"/>
      <c r="D139" s="7">
        <v>1022.68</v>
      </c>
      <c r="E139" s="2"/>
      <c r="F139" s="8">
        <f t="shared" si="25"/>
        <v>5.5096305344168144E-4</v>
      </c>
      <c r="G139" s="2"/>
      <c r="H139" s="7">
        <v>446.19</v>
      </c>
      <c r="I139" s="2"/>
      <c r="J139" s="8">
        <f t="shared" si="26"/>
        <v>2.1361475270907461E-4</v>
      </c>
      <c r="K139" s="2"/>
      <c r="L139" s="7">
        <f t="shared" si="27"/>
        <v>576.49</v>
      </c>
      <c r="M139" s="2"/>
      <c r="N139" s="8">
        <f t="shared" si="28"/>
        <v>1.2920280597951546</v>
      </c>
      <c r="O139" s="11"/>
      <c r="P139" s="7">
        <v>1738.23</v>
      </c>
      <c r="Q139" s="2"/>
      <c r="R139" s="8">
        <f t="shared" si="29"/>
        <v>8.0030017322410552E-4</v>
      </c>
      <c r="S139" s="2"/>
      <c r="T139" s="7">
        <v>1026.8699999999999</v>
      </c>
      <c r="U139" s="2"/>
      <c r="V139" s="8">
        <f t="shared" si="30"/>
        <v>4.0677872640788247E-4</v>
      </c>
      <c r="W139" s="2"/>
      <c r="X139" s="7">
        <f t="shared" si="31"/>
        <v>711.36000000000013</v>
      </c>
      <c r="Y139" s="2"/>
      <c r="Z139" s="8">
        <f t="shared" si="32"/>
        <v>0.69274591720470968</v>
      </c>
    </row>
    <row r="140" spans="1:26" s="24" customFormat="1" hidden="1" outlineLevel="2" x14ac:dyDescent="0.3">
      <c r="A140" s="27"/>
      <c r="B140" s="11" t="str">
        <f>CONCATENATE("          ", "6118", " - ", "VACATION")</f>
        <v xml:space="preserve">          6118 - VACATION</v>
      </c>
      <c r="C140" s="11"/>
      <c r="D140" s="7">
        <v>5611.54</v>
      </c>
      <c r="E140" s="2"/>
      <c r="F140" s="8">
        <f t="shared" si="25"/>
        <v>3.0231853687469521E-3</v>
      </c>
      <c r="G140" s="2"/>
      <c r="H140" s="7">
        <v>5248.76</v>
      </c>
      <c r="I140" s="2"/>
      <c r="J140" s="8">
        <f t="shared" si="26"/>
        <v>2.5128590273858276E-3</v>
      </c>
      <c r="K140" s="2"/>
      <c r="L140" s="7">
        <f t="shared" si="27"/>
        <v>362.77999999999975</v>
      </c>
      <c r="M140" s="2"/>
      <c r="N140" s="8">
        <f t="shared" si="28"/>
        <v>6.9117277223572748E-2</v>
      </c>
      <c r="O140" s="11"/>
      <c r="P140" s="7">
        <v>11080.09</v>
      </c>
      <c r="Q140" s="2"/>
      <c r="R140" s="8">
        <f t="shared" si="29"/>
        <v>5.1013950664403895E-3</v>
      </c>
      <c r="S140" s="2"/>
      <c r="T140" s="7">
        <v>10240.26</v>
      </c>
      <c r="U140" s="2"/>
      <c r="V140" s="8">
        <f t="shared" si="30"/>
        <v>4.0565211963399291E-3</v>
      </c>
      <c r="W140" s="2"/>
      <c r="X140" s="7">
        <f t="shared" si="31"/>
        <v>839.82999999999993</v>
      </c>
      <c r="Y140" s="2"/>
      <c r="Z140" s="8">
        <f t="shared" si="32"/>
        <v>8.2012566087189182E-2</v>
      </c>
    </row>
    <row r="141" spans="1:26" s="24" customFormat="1" hidden="1" outlineLevel="2" x14ac:dyDescent="0.3">
      <c r="A141" s="27"/>
      <c r="B141" s="11" t="str">
        <f>CONCATENATE("          ", "6119", " - ", "SICK LEAVE")</f>
        <v xml:space="preserve">          6119 - SICK LEAVE</v>
      </c>
      <c r="C141" s="11"/>
      <c r="D141" s="7">
        <v>3959.85</v>
      </c>
      <c r="E141" s="2"/>
      <c r="F141" s="8">
        <f t="shared" si="25"/>
        <v>2.1333467430389194E-3</v>
      </c>
      <c r="G141" s="2"/>
      <c r="H141" s="7">
        <v>3875.78</v>
      </c>
      <c r="I141" s="2"/>
      <c r="J141" s="8">
        <f t="shared" si="26"/>
        <v>1.8555408822581798E-3</v>
      </c>
      <c r="K141" s="2"/>
      <c r="L141" s="7">
        <f t="shared" si="27"/>
        <v>84.069999999999709</v>
      </c>
      <c r="M141" s="2"/>
      <c r="N141" s="8">
        <f t="shared" si="28"/>
        <v>2.1691117658896971E-2</v>
      </c>
      <c r="O141" s="11"/>
      <c r="P141" s="7">
        <v>7927.08</v>
      </c>
      <c r="Q141" s="2"/>
      <c r="R141" s="8">
        <f t="shared" si="29"/>
        <v>3.6497146506281344E-3</v>
      </c>
      <c r="S141" s="2"/>
      <c r="T141" s="7">
        <v>7468.33</v>
      </c>
      <c r="U141" s="2"/>
      <c r="V141" s="8">
        <f t="shared" si="30"/>
        <v>2.9584638423498411E-3</v>
      </c>
      <c r="W141" s="2"/>
      <c r="X141" s="7">
        <f t="shared" si="31"/>
        <v>458.75</v>
      </c>
      <c r="Y141" s="2"/>
      <c r="Z141" s="8">
        <f t="shared" si="32"/>
        <v>6.1426048393683728E-2</v>
      </c>
    </row>
    <row r="142" spans="1:26" s="24" customFormat="1" hidden="1" outlineLevel="2" x14ac:dyDescent="0.3">
      <c r="A142" s="27"/>
      <c r="B142" s="11" t="str">
        <f>CONCATENATE("          ", "6156", " - ", "EMPLOYEE MEALS")</f>
        <v xml:space="preserve">          6156 - EMPLOYEE MEALS</v>
      </c>
      <c r="C142" s="11"/>
      <c r="D142" s="7">
        <v>2184.29</v>
      </c>
      <c r="E142" s="2"/>
      <c r="F142" s="8">
        <f t="shared" si="25"/>
        <v>1.1767738569270253E-3</v>
      </c>
      <c r="G142" s="2"/>
      <c r="H142" s="7">
        <v>1610.97</v>
      </c>
      <c r="I142" s="2"/>
      <c r="J142" s="8">
        <f t="shared" si="26"/>
        <v>7.7125654580276995E-4</v>
      </c>
      <c r="K142" s="2"/>
      <c r="L142" s="7">
        <f t="shared" si="27"/>
        <v>573.31999999999994</v>
      </c>
      <c r="M142" s="2"/>
      <c r="N142" s="8">
        <f t="shared" si="28"/>
        <v>0.35588496371751177</v>
      </c>
      <c r="O142" s="11"/>
      <c r="P142" s="7">
        <v>3642.99</v>
      </c>
      <c r="Q142" s="2"/>
      <c r="R142" s="8">
        <f t="shared" si="29"/>
        <v>1.677272586512535E-3</v>
      </c>
      <c r="S142" s="2"/>
      <c r="T142" s="7">
        <v>2805.22</v>
      </c>
      <c r="U142" s="2"/>
      <c r="V142" s="8">
        <f t="shared" si="30"/>
        <v>1.1112446744903641E-3</v>
      </c>
      <c r="W142" s="2"/>
      <c r="X142" s="7">
        <f t="shared" si="31"/>
        <v>837.77</v>
      </c>
      <c r="Y142" s="2"/>
      <c r="Z142" s="8">
        <f t="shared" si="32"/>
        <v>0.29864680844996117</v>
      </c>
    </row>
    <row r="143" spans="1:26" s="28" customFormat="1" outlineLevel="1" collapsed="1" x14ac:dyDescent="0.3">
      <c r="A143" s="29"/>
      <c r="B143" s="14" t="str">
        <f>CONCATENATE("     ","*Payroll                                          ")</f>
        <v xml:space="preserve">     *Payroll                                          </v>
      </c>
      <c r="C143" s="14"/>
      <c r="D143" s="1">
        <f>SUM(OSRRefD22_1x_0)</f>
        <v>195958.27</v>
      </c>
      <c r="E143" s="1"/>
      <c r="F143" s="5">
        <f t="shared" ref="F143:F150" si="33">IF(D$12=0,0,D143/D$12)</f>
        <v>0.10557140726947768</v>
      </c>
      <c r="G143" s="1"/>
      <c r="H143" s="1">
        <f>SUM(OSRRefH22_1x_0)</f>
        <v>169225.68</v>
      </c>
      <c r="I143" s="1"/>
      <c r="J143" s="5">
        <f t="shared" ref="J143:J150" si="34">IF(H$12=0,0,H143/H$12)</f>
        <v>8.1017283635278672E-2</v>
      </c>
      <c r="K143" s="1"/>
      <c r="L143" s="1">
        <f t="shared" ref="L143:L150" si="35">+D143-H143</f>
        <v>26732.589999999997</v>
      </c>
      <c r="M143" s="1"/>
      <c r="N143" s="5">
        <f t="shared" ref="N143:N150" si="36">IF(H143=0,0,L143/H143)</f>
        <v>0.15797005513583989</v>
      </c>
      <c r="O143" s="14"/>
      <c r="P143" s="1">
        <f>SUM(OSRRefP22_1x_0)</f>
        <v>372741.78</v>
      </c>
      <c r="Q143" s="1"/>
      <c r="R143" s="5">
        <f t="shared" ref="R143:R150" si="37">IF(P$12=0,0,P143/P$12)</f>
        <v>0.17161440724292035</v>
      </c>
      <c r="S143" s="1"/>
      <c r="T143" s="1">
        <f>SUM(OSRRefT22_1x_0)</f>
        <v>296121.06000000006</v>
      </c>
      <c r="U143" s="1"/>
      <c r="V143" s="5">
        <f t="shared" ref="V143:V150" si="38">IF(T$12=0,0,T143/T$12)</f>
        <v>0.11730379468613572</v>
      </c>
      <c r="W143" s="1"/>
      <c r="X143" s="1">
        <f t="shared" ref="X143:X150" si="39">+P143-T143</f>
        <v>76620.719999999972</v>
      </c>
      <c r="Y143" s="1"/>
      <c r="Z143" s="5">
        <f t="shared" ref="Z143:Z150" si="40">IF(T143=0,0,X143/T143)</f>
        <v>0.25874795936499739</v>
      </c>
    </row>
    <row r="144" spans="1:26" s="24" customFormat="1" hidden="1" outlineLevel="2" x14ac:dyDescent="0.3">
      <c r="A144" s="27"/>
      <c r="B144" s="11" t="str">
        <f>CONCATENATE("          ", "6001", " - ", "ADMINISTRATIVE SALARIES")</f>
        <v xml:space="preserve">          6001 - ADMINISTRATIVE SALARIES</v>
      </c>
      <c r="C144" s="11"/>
      <c r="D144" s="7">
        <v>4479.1000000000004</v>
      </c>
      <c r="E144" s="2"/>
      <c r="F144" s="8">
        <f t="shared" si="33"/>
        <v>2.4130897374258181E-3</v>
      </c>
      <c r="G144" s="2"/>
      <c r="H144" s="7">
        <v>4205.74</v>
      </c>
      <c r="I144" s="2"/>
      <c r="J144" s="8">
        <f t="shared" si="34"/>
        <v>2.0135101863750049E-3</v>
      </c>
      <c r="K144" s="2"/>
      <c r="L144" s="7">
        <f t="shared" si="35"/>
        <v>273.36000000000058</v>
      </c>
      <c r="M144" s="2"/>
      <c r="N144" s="8">
        <f t="shared" si="36"/>
        <v>6.4996885209261765E-2</v>
      </c>
      <c r="O144" s="11"/>
      <c r="P144" s="7">
        <v>10078.200000000001</v>
      </c>
      <c r="Q144" s="2"/>
      <c r="R144" s="8">
        <f t="shared" si="37"/>
        <v>4.6401139123057253E-3</v>
      </c>
      <c r="S144" s="2"/>
      <c r="T144" s="7">
        <v>8731.59</v>
      </c>
      <c r="U144" s="2"/>
      <c r="V144" s="8">
        <f t="shared" si="38"/>
        <v>3.4588848244819725E-3</v>
      </c>
      <c r="W144" s="2"/>
      <c r="X144" s="7">
        <f t="shared" si="39"/>
        <v>1346.6100000000006</v>
      </c>
      <c r="Y144" s="2"/>
      <c r="Z144" s="8">
        <f t="shared" si="40"/>
        <v>0.1542227704232563</v>
      </c>
    </row>
    <row r="145" spans="1:26" s="24" customFormat="1" hidden="1" outlineLevel="2" x14ac:dyDescent="0.3">
      <c r="A145" s="27"/>
      <c r="B145" s="11" t="str">
        <f>CONCATENATE("          ", "6002", " - ", "STAFF SALARIES")</f>
        <v xml:space="preserve">          6002 - STAFF SALARIES</v>
      </c>
      <c r="C145" s="11"/>
      <c r="D145" s="7">
        <v>59729.71</v>
      </c>
      <c r="E145" s="2"/>
      <c r="F145" s="8">
        <f t="shared" si="33"/>
        <v>3.2179042714031887E-2</v>
      </c>
      <c r="G145" s="2"/>
      <c r="H145" s="7">
        <v>56112.83</v>
      </c>
      <c r="I145" s="2"/>
      <c r="J145" s="8">
        <f t="shared" si="34"/>
        <v>2.6864179619122668E-2</v>
      </c>
      <c r="K145" s="2"/>
      <c r="L145" s="7">
        <f t="shared" si="35"/>
        <v>3616.8799999999974</v>
      </c>
      <c r="M145" s="2"/>
      <c r="N145" s="8">
        <f t="shared" si="36"/>
        <v>6.4457272962350987E-2</v>
      </c>
      <c r="O145" s="11"/>
      <c r="P145" s="7">
        <v>133380.37</v>
      </c>
      <c r="Q145" s="2"/>
      <c r="R145" s="8">
        <f t="shared" si="37"/>
        <v>6.1409786515993436E-2</v>
      </c>
      <c r="S145" s="2"/>
      <c r="T145" s="7">
        <v>123174.3</v>
      </c>
      <c r="U145" s="2"/>
      <c r="V145" s="8">
        <f t="shared" si="38"/>
        <v>4.8793600825988145E-2</v>
      </c>
      <c r="W145" s="2"/>
      <c r="X145" s="7">
        <f t="shared" si="39"/>
        <v>10206.069999999992</v>
      </c>
      <c r="Y145" s="2"/>
      <c r="Z145" s="8">
        <f t="shared" si="40"/>
        <v>8.2858761933292835E-2</v>
      </c>
    </row>
    <row r="146" spans="1:26" s="24" customFormat="1" hidden="1" outlineLevel="2" x14ac:dyDescent="0.3">
      <c r="A146" s="27"/>
      <c r="B146" s="11" t="str">
        <f>CONCATENATE("          ", "6004", " - ", "STAFF HOURLY")</f>
        <v xml:space="preserve">          6004 - STAFF HOURLY</v>
      </c>
      <c r="C146" s="11"/>
      <c r="D146" s="7">
        <v>20788.150000000001</v>
      </c>
      <c r="E146" s="2"/>
      <c r="F146" s="8">
        <f t="shared" si="33"/>
        <v>1.1199497985101586E-2</v>
      </c>
      <c r="G146" s="2"/>
      <c r="H146" s="7">
        <v>17687.32</v>
      </c>
      <c r="I146" s="2"/>
      <c r="J146" s="8">
        <f t="shared" si="34"/>
        <v>8.4678555948951555E-3</v>
      </c>
      <c r="K146" s="2"/>
      <c r="L146" s="7">
        <f t="shared" si="35"/>
        <v>3100.8300000000017</v>
      </c>
      <c r="M146" s="2"/>
      <c r="N146" s="8">
        <f t="shared" si="36"/>
        <v>0.1753137275743302</v>
      </c>
      <c r="O146" s="11"/>
      <c r="P146" s="7">
        <v>39483.03</v>
      </c>
      <c r="Q146" s="2"/>
      <c r="R146" s="8">
        <f t="shared" si="37"/>
        <v>1.8178420432516152E-2</v>
      </c>
      <c r="S146" s="2"/>
      <c r="T146" s="7">
        <v>36424.589999999997</v>
      </c>
      <c r="U146" s="2"/>
      <c r="V146" s="8">
        <f t="shared" si="38"/>
        <v>1.4429040024666504E-2</v>
      </c>
      <c r="W146" s="2"/>
      <c r="X146" s="7">
        <f t="shared" si="39"/>
        <v>3058.4400000000023</v>
      </c>
      <c r="Y146" s="2"/>
      <c r="Z146" s="8">
        <f t="shared" si="40"/>
        <v>8.3966353499106028E-2</v>
      </c>
    </row>
    <row r="147" spans="1:26" s="24" customFormat="1" hidden="1" outlineLevel="2" x14ac:dyDescent="0.3">
      <c r="A147" s="27"/>
      <c r="B147" s="11" t="str">
        <f>CONCATENATE("          ", "6005", " - ", "TEMPORARY WAGES-HOURLY")</f>
        <v xml:space="preserve">          6005 - TEMPORARY WAGES-HOURLY</v>
      </c>
      <c r="C147" s="11"/>
      <c r="D147" s="7">
        <v>9622.7900000000009</v>
      </c>
      <c r="E147" s="2"/>
      <c r="F147" s="8">
        <f t="shared" si="33"/>
        <v>5.184223570450266E-3</v>
      </c>
      <c r="G147" s="2"/>
      <c r="H147" s="7">
        <v>22505.49</v>
      </c>
      <c r="I147" s="2"/>
      <c r="J147" s="8">
        <f t="shared" si="34"/>
        <v>1.0774568414681081E-2</v>
      </c>
      <c r="K147" s="2"/>
      <c r="L147" s="7">
        <f t="shared" si="35"/>
        <v>-12882.7</v>
      </c>
      <c r="M147" s="2"/>
      <c r="N147" s="8">
        <f t="shared" si="36"/>
        <v>-0.57242477279988124</v>
      </c>
      <c r="O147" s="11"/>
      <c r="P147" s="7">
        <v>19070.59</v>
      </c>
      <c r="Q147" s="2"/>
      <c r="R147" s="8">
        <f t="shared" si="37"/>
        <v>8.7803089812544342E-3</v>
      </c>
      <c r="S147" s="2"/>
      <c r="T147" s="7">
        <v>34891.040000000001</v>
      </c>
      <c r="U147" s="2"/>
      <c r="V147" s="8">
        <f t="shared" si="38"/>
        <v>1.3821547824209964E-2</v>
      </c>
      <c r="W147" s="2"/>
      <c r="X147" s="7">
        <f t="shared" si="39"/>
        <v>-15820.45</v>
      </c>
      <c r="Y147" s="2"/>
      <c r="Z147" s="8">
        <f t="shared" si="40"/>
        <v>-0.45342443217513723</v>
      </c>
    </row>
    <row r="148" spans="1:26" s="24" customFormat="1" hidden="1" outlineLevel="2" x14ac:dyDescent="0.3">
      <c r="A148" s="27"/>
      <c r="B148" s="11" t="str">
        <f>CONCATENATE("          ", "6006", " - ", "TEMPORARY PART TIME")</f>
        <v xml:space="preserve">          6006 - TEMPORARY PART TIME</v>
      </c>
      <c r="C148" s="11"/>
      <c r="D148" s="7">
        <v>3273.79</v>
      </c>
      <c r="E148" s="2"/>
      <c r="F148" s="8">
        <f t="shared" si="33"/>
        <v>1.7637358066324188E-3</v>
      </c>
      <c r="G148" s="2"/>
      <c r="H148" s="7">
        <v>1927.34</v>
      </c>
      <c r="I148" s="2"/>
      <c r="J148" s="8">
        <f t="shared" si="34"/>
        <v>9.2271959812256625E-4</v>
      </c>
      <c r="K148" s="2"/>
      <c r="L148" s="7">
        <f t="shared" si="35"/>
        <v>1346.45</v>
      </c>
      <c r="M148" s="2"/>
      <c r="N148" s="8">
        <f t="shared" si="36"/>
        <v>0.69860533170068595</v>
      </c>
      <c r="O148" s="11"/>
      <c r="P148" s="7">
        <v>6138.19</v>
      </c>
      <c r="Q148" s="2"/>
      <c r="R148" s="8">
        <f t="shared" si="37"/>
        <v>2.8260900572895827E-3</v>
      </c>
      <c r="S148" s="2"/>
      <c r="T148" s="7">
        <v>3975.55</v>
      </c>
      <c r="U148" s="2"/>
      <c r="V148" s="8">
        <f t="shared" si="38"/>
        <v>1.5748528691760957E-3</v>
      </c>
      <c r="W148" s="2"/>
      <c r="X148" s="7">
        <f t="shared" si="39"/>
        <v>2162.6399999999994</v>
      </c>
      <c r="Y148" s="2"/>
      <c r="Z148" s="8">
        <f t="shared" si="40"/>
        <v>0.54398510897863173</v>
      </c>
    </row>
    <row r="149" spans="1:26" s="24" customFormat="1" hidden="1" outlineLevel="2" x14ac:dyDescent="0.3">
      <c r="A149" s="27"/>
      <c r="B149" s="11" t="str">
        <f>CONCATENATE("          ", "6007", " - ", "STUDENT HOURLY")</f>
        <v xml:space="preserve">          6007 - STUDENT HOURLY</v>
      </c>
      <c r="C149" s="11"/>
      <c r="D149" s="7">
        <v>82627.88</v>
      </c>
      <c r="E149" s="2"/>
      <c r="F149" s="8">
        <f t="shared" si="33"/>
        <v>4.4515302014523452E-2</v>
      </c>
      <c r="G149" s="2"/>
      <c r="H149" s="7">
        <v>66353.929999999993</v>
      </c>
      <c r="I149" s="2"/>
      <c r="J149" s="8">
        <f t="shared" si="34"/>
        <v>3.1767135857426756E-2</v>
      </c>
      <c r="K149" s="2"/>
      <c r="L149" s="7">
        <f t="shared" si="35"/>
        <v>16273.950000000012</v>
      </c>
      <c r="M149" s="2"/>
      <c r="N149" s="8">
        <f t="shared" si="36"/>
        <v>0.24525977587160269</v>
      </c>
      <c r="O149" s="11"/>
      <c r="P149" s="7">
        <v>139370.20000000001</v>
      </c>
      <c r="Q149" s="2"/>
      <c r="R149" s="8">
        <f t="shared" si="37"/>
        <v>6.416757000067784E-2</v>
      </c>
      <c r="S149" s="2"/>
      <c r="T149" s="7">
        <v>88490.96</v>
      </c>
      <c r="U149" s="2"/>
      <c r="V149" s="8">
        <f t="shared" si="38"/>
        <v>3.5054330156116038E-2</v>
      </c>
      <c r="W149" s="2"/>
      <c r="X149" s="7">
        <f t="shared" si="39"/>
        <v>50879.240000000005</v>
      </c>
      <c r="Y149" s="2"/>
      <c r="Z149" s="8">
        <f t="shared" si="40"/>
        <v>0.57496539759541543</v>
      </c>
    </row>
    <row r="150" spans="1:26" s="24" customFormat="1" hidden="1" outlineLevel="2" x14ac:dyDescent="0.3">
      <c r="A150" s="27"/>
      <c r="B150" s="11" t="str">
        <f>CONCATENATE("          ", "6008", " - ", "STUDENT HOURLY-FICA EXEMPT")</f>
        <v xml:space="preserve">          6008 - STUDENT HOURLY-FICA EXEMPT</v>
      </c>
      <c r="C150" s="11"/>
      <c r="D150" s="7">
        <v>15436.85</v>
      </c>
      <c r="E150" s="2"/>
      <c r="F150" s="8">
        <f t="shared" si="33"/>
        <v>8.3165154413122576E-3</v>
      </c>
      <c r="G150" s="2"/>
      <c r="H150" s="7">
        <v>433.03</v>
      </c>
      <c r="I150" s="2"/>
      <c r="J150" s="8">
        <f t="shared" si="34"/>
        <v>2.0731436465543955E-4</v>
      </c>
      <c r="K150" s="2"/>
      <c r="L150" s="7">
        <f t="shared" si="35"/>
        <v>15003.82</v>
      </c>
      <c r="M150" s="2"/>
      <c r="N150" s="8">
        <f t="shared" si="36"/>
        <v>34.648453917742422</v>
      </c>
      <c r="O150" s="11"/>
      <c r="P150" s="7">
        <v>25221.200000000001</v>
      </c>
      <c r="Q150" s="2"/>
      <c r="R150" s="8">
        <f t="shared" si="37"/>
        <v>1.1612117342883168E-2</v>
      </c>
      <c r="S150" s="2"/>
      <c r="T150" s="7">
        <v>433.03</v>
      </c>
      <c r="U150" s="2"/>
      <c r="V150" s="8">
        <f t="shared" si="38"/>
        <v>1.7153816149698147E-4</v>
      </c>
      <c r="W150" s="2"/>
      <c r="X150" s="7">
        <f t="shared" si="39"/>
        <v>24788.170000000002</v>
      </c>
      <c r="Y150" s="2"/>
      <c r="Z150" s="8">
        <f t="shared" si="40"/>
        <v>57.243539708565237</v>
      </c>
    </row>
    <row r="151" spans="1:26" s="28" customFormat="1" outlineLevel="1" collapsed="1" x14ac:dyDescent="0.3">
      <c r="A151" s="29"/>
      <c r="B151" s="14" t="str">
        <f>CONCATENATE("     ","Advertising/Promo                                 ")</f>
        <v xml:space="preserve">     Advertising/Promo                                 </v>
      </c>
      <c r="C151" s="14"/>
      <c r="D151" s="1">
        <f>SUM(OSRRefD22_2x_0)</f>
        <v>1582.16</v>
      </c>
      <c r="E151" s="1"/>
      <c r="F151" s="5">
        <f t="shared" ref="F151:F159" si="41">IF(D$12=0,0,D151/D$12)</f>
        <v>8.523797323046219E-4</v>
      </c>
      <c r="G151" s="1"/>
      <c r="H151" s="1">
        <f>SUM(OSRRefH22_2x_0)</f>
        <v>9510.6</v>
      </c>
      <c r="I151" s="1"/>
      <c r="J151" s="5">
        <f t="shared" ref="J151:J159" si="42">IF(H$12=0,0,H151/H$12)</f>
        <v>4.5532272509803563E-3</v>
      </c>
      <c r="K151" s="1"/>
      <c r="L151" s="1">
        <f t="shared" ref="L151:L159" si="43">+D151-H151</f>
        <v>-7928.4400000000005</v>
      </c>
      <c r="M151" s="1"/>
      <c r="N151" s="5">
        <f t="shared" ref="N151:N159" si="44">IF(H151=0,0,L151/H151)</f>
        <v>-0.83364246209492565</v>
      </c>
      <c r="O151" s="14"/>
      <c r="P151" s="1">
        <f>SUM(OSRRefP22_2x_0)</f>
        <v>2121.21</v>
      </c>
      <c r="Q151" s="1"/>
      <c r="R151" s="5">
        <f t="shared" ref="R151:R159" si="45">IF(P$12=0,0,P151/P$12)</f>
        <v>9.7662836934393304E-4</v>
      </c>
      <c r="S151" s="1"/>
      <c r="T151" s="1">
        <f>SUM(OSRRefT22_2x_0)</f>
        <v>12251.08</v>
      </c>
      <c r="U151" s="1"/>
      <c r="V151" s="5">
        <f t="shared" ref="V151:V159" si="46">IF(T$12=0,0,T151/T$12)</f>
        <v>4.8530765525539562E-3</v>
      </c>
      <c r="W151" s="1"/>
      <c r="X151" s="1">
        <f t="shared" ref="X151:X159" si="47">+P151-T151</f>
        <v>-10129.869999999999</v>
      </c>
      <c r="Y151" s="1"/>
      <c r="Z151" s="5">
        <f t="shared" ref="Z151:Z159" si="48">IF(T151=0,0,X151/T151)</f>
        <v>-0.82685526500520767</v>
      </c>
    </row>
    <row r="152" spans="1:26" s="24" customFormat="1" hidden="1" outlineLevel="2" x14ac:dyDescent="0.3">
      <c r="A152" s="27"/>
      <c r="B152" s="11" t="str">
        <f>CONCATENATE("          ", "6362", " - ", "ADVERTISING EXPENSE")</f>
        <v xml:space="preserve">          6362 - ADVERTISING EXPENSE</v>
      </c>
      <c r="C152" s="11"/>
      <c r="D152" s="7">
        <v>1582.16</v>
      </c>
      <c r="E152" s="2"/>
      <c r="F152" s="8">
        <f t="shared" si="41"/>
        <v>8.523797323046219E-4</v>
      </c>
      <c r="G152" s="2"/>
      <c r="H152" s="7">
        <v>9510.6</v>
      </c>
      <c r="I152" s="2"/>
      <c r="J152" s="8">
        <f t="shared" si="42"/>
        <v>4.5532272509803563E-3</v>
      </c>
      <c r="K152" s="2"/>
      <c r="L152" s="7">
        <f t="shared" si="43"/>
        <v>-7928.4400000000005</v>
      </c>
      <c r="M152" s="2"/>
      <c r="N152" s="8">
        <f t="shared" si="44"/>
        <v>-0.83364246209492565</v>
      </c>
      <c r="O152" s="11"/>
      <c r="P152" s="7">
        <v>2121.21</v>
      </c>
      <c r="Q152" s="2"/>
      <c r="R152" s="8">
        <f t="shared" si="45"/>
        <v>9.7662836934393304E-4</v>
      </c>
      <c r="S152" s="2"/>
      <c r="T152" s="7">
        <v>12251.08</v>
      </c>
      <c r="U152" s="2"/>
      <c r="V152" s="8">
        <f t="shared" si="46"/>
        <v>4.8530765525539562E-3</v>
      </c>
      <c r="W152" s="2"/>
      <c r="X152" s="7">
        <f t="shared" si="47"/>
        <v>-10129.869999999999</v>
      </c>
      <c r="Y152" s="2"/>
      <c r="Z152" s="8">
        <f t="shared" si="48"/>
        <v>-0.82685526500520767</v>
      </c>
    </row>
    <row r="153" spans="1:26" s="28" customFormat="1" outlineLevel="1" collapsed="1" x14ac:dyDescent="0.3">
      <c r="A153" s="29"/>
      <c r="B153" s="14" t="str">
        <f>CONCATENATE("     ","Bad Debts/Over/Short                              ")</f>
        <v xml:space="preserve">     Bad Debts/Over/Short                              </v>
      </c>
      <c r="C153" s="14"/>
      <c r="D153" s="1">
        <f>SUM(OSRRefD22_3x_0)</f>
        <v>150.76</v>
      </c>
      <c r="E153" s="1"/>
      <c r="F153" s="5">
        <f t="shared" si="41"/>
        <v>8.1221095491129083E-5</v>
      </c>
      <c r="G153" s="1"/>
      <c r="H153" s="1">
        <f>SUM(OSRRefH22_3x_0)</f>
        <v>66.81</v>
      </c>
      <c r="I153" s="1"/>
      <c r="J153" s="5">
        <f t="shared" si="42"/>
        <v>3.1985480688704979E-5</v>
      </c>
      <c r="K153" s="1"/>
      <c r="L153" s="1">
        <f t="shared" si="43"/>
        <v>83.949999999999989</v>
      </c>
      <c r="M153" s="1"/>
      <c r="N153" s="5">
        <f t="shared" si="44"/>
        <v>1.2565484208950755</v>
      </c>
      <c r="O153" s="14"/>
      <c r="P153" s="1">
        <f>SUM(OSRRefP22_3x_0)</f>
        <v>152.03</v>
      </c>
      <c r="Q153" s="1"/>
      <c r="R153" s="5">
        <f t="shared" si="45"/>
        <v>6.9996280892206872E-5</v>
      </c>
      <c r="S153" s="1"/>
      <c r="T153" s="1">
        <f>SUM(OSRRefT22_3x_0)</f>
        <v>71.790000000000006</v>
      </c>
      <c r="U153" s="1"/>
      <c r="V153" s="5">
        <f t="shared" si="46"/>
        <v>2.843850221432303E-5</v>
      </c>
      <c r="W153" s="1"/>
      <c r="X153" s="1">
        <f t="shared" si="47"/>
        <v>80.239999999999995</v>
      </c>
      <c r="Y153" s="1"/>
      <c r="Z153" s="5">
        <f t="shared" si="48"/>
        <v>1.1177044156567766</v>
      </c>
    </row>
    <row r="154" spans="1:26" s="24" customFormat="1" hidden="1" outlineLevel="2" x14ac:dyDescent="0.3">
      <c r="A154" s="27"/>
      <c r="B154" s="11" t="str">
        <f>CONCATENATE("          ", "6272", " - ", "CASH (OVER/SHORT)")</f>
        <v xml:space="preserve">          6272 - CASH (OVER/SHORT)</v>
      </c>
      <c r="C154" s="11"/>
      <c r="D154" s="7">
        <v>150.76</v>
      </c>
      <c r="E154" s="2"/>
      <c r="F154" s="8">
        <f t="shared" si="41"/>
        <v>8.1221095491129083E-5</v>
      </c>
      <c r="G154" s="2"/>
      <c r="H154" s="7">
        <v>66.81</v>
      </c>
      <c r="I154" s="2"/>
      <c r="J154" s="8">
        <f t="shared" si="42"/>
        <v>3.1985480688704979E-5</v>
      </c>
      <c r="K154" s="2"/>
      <c r="L154" s="7">
        <f t="shared" si="43"/>
        <v>83.949999999999989</v>
      </c>
      <c r="M154" s="2"/>
      <c r="N154" s="8">
        <f t="shared" si="44"/>
        <v>1.2565484208950755</v>
      </c>
      <c r="O154" s="11"/>
      <c r="P154" s="7">
        <v>152.03</v>
      </c>
      <c r="Q154" s="2"/>
      <c r="R154" s="8">
        <f t="shared" si="45"/>
        <v>6.9996280892206872E-5</v>
      </c>
      <c r="S154" s="2"/>
      <c r="T154" s="7">
        <v>71.790000000000006</v>
      </c>
      <c r="U154" s="2"/>
      <c r="V154" s="8">
        <f t="shared" si="46"/>
        <v>2.843850221432303E-5</v>
      </c>
      <c r="W154" s="2"/>
      <c r="X154" s="7">
        <f t="shared" si="47"/>
        <v>80.239999999999995</v>
      </c>
      <c r="Y154" s="2"/>
      <c r="Z154" s="8">
        <f t="shared" si="48"/>
        <v>1.1177044156567766</v>
      </c>
    </row>
    <row r="155" spans="1:26" s="28" customFormat="1" outlineLevel="1" collapsed="1" x14ac:dyDescent="0.3">
      <c r="A155" s="29"/>
      <c r="B155" s="14" t="str">
        <f>CONCATENATE("     ","Bank/card Fees                                    ")</f>
        <v xml:space="preserve">     Bank/card Fees                                    </v>
      </c>
      <c r="C155" s="14"/>
      <c r="D155" s="1">
        <f>SUM(OSRRefD22_4x_0)</f>
        <v>23002.82</v>
      </c>
      <c r="E155" s="1"/>
      <c r="F155" s="5">
        <f t="shared" si="41"/>
        <v>1.239263889483453E-2</v>
      </c>
      <c r="G155" s="1"/>
      <c r="H155" s="1">
        <f>SUM(OSRRefH22_4x_0)</f>
        <v>22080.34</v>
      </c>
      <c r="I155" s="1"/>
      <c r="J155" s="5">
        <f t="shared" si="42"/>
        <v>1.0571026622811557E-2</v>
      </c>
      <c r="K155" s="1"/>
      <c r="L155" s="1">
        <f t="shared" si="43"/>
        <v>922.47999999999956</v>
      </c>
      <c r="M155" s="1"/>
      <c r="N155" s="5">
        <f t="shared" si="44"/>
        <v>4.1778342181325083E-2</v>
      </c>
      <c r="O155" s="14"/>
      <c r="P155" s="1">
        <f>SUM(OSRRefP22_4x_0)</f>
        <v>26964.7</v>
      </c>
      <c r="Q155" s="1"/>
      <c r="R155" s="5">
        <f t="shared" si="45"/>
        <v>1.2414843881958106E-2</v>
      </c>
      <c r="S155" s="1"/>
      <c r="T155" s="1">
        <f>SUM(OSRRefT22_4x_0)</f>
        <v>25197.55</v>
      </c>
      <c r="U155" s="1"/>
      <c r="V155" s="5">
        <f t="shared" si="46"/>
        <v>9.9816211376308004E-3</v>
      </c>
      <c r="W155" s="1"/>
      <c r="X155" s="1">
        <f t="shared" si="47"/>
        <v>1767.1500000000015</v>
      </c>
      <c r="Y155" s="1"/>
      <c r="Z155" s="5">
        <f t="shared" si="48"/>
        <v>7.01318183712306E-2</v>
      </c>
    </row>
    <row r="156" spans="1:26" s="24" customFormat="1" hidden="1" outlineLevel="2" x14ac:dyDescent="0.3">
      <c r="A156" s="27"/>
      <c r="B156" s="11" t="str">
        <f>CONCATENATE("          ", "6381", " - ", "BANK/CREDIT CARD FEES")</f>
        <v xml:space="preserve">          6381 - BANK/CREDIT CARD FEES</v>
      </c>
      <c r="C156" s="11"/>
      <c r="D156" s="7">
        <v>23002.82</v>
      </c>
      <c r="E156" s="2"/>
      <c r="F156" s="8">
        <f t="shared" si="41"/>
        <v>1.239263889483453E-2</v>
      </c>
      <c r="G156" s="2"/>
      <c r="H156" s="7">
        <v>22080.34</v>
      </c>
      <c r="I156" s="2"/>
      <c r="J156" s="8">
        <f t="shared" si="42"/>
        <v>1.0571026622811557E-2</v>
      </c>
      <c r="K156" s="2"/>
      <c r="L156" s="7">
        <f t="shared" si="43"/>
        <v>922.47999999999956</v>
      </c>
      <c r="M156" s="2"/>
      <c r="N156" s="8">
        <f t="shared" si="44"/>
        <v>4.1778342181325083E-2</v>
      </c>
      <c r="O156" s="11"/>
      <c r="P156" s="7">
        <v>26964.7</v>
      </c>
      <c r="Q156" s="2"/>
      <c r="R156" s="8">
        <f t="shared" si="45"/>
        <v>1.2414843881958106E-2</v>
      </c>
      <c r="S156" s="2"/>
      <c r="T156" s="7">
        <v>25197.55</v>
      </c>
      <c r="U156" s="2"/>
      <c r="V156" s="8">
        <f t="shared" si="46"/>
        <v>9.9816211376308004E-3</v>
      </c>
      <c r="W156" s="2"/>
      <c r="X156" s="7">
        <f t="shared" si="47"/>
        <v>1767.1500000000015</v>
      </c>
      <c r="Y156" s="2"/>
      <c r="Z156" s="8">
        <f t="shared" si="48"/>
        <v>7.01318183712306E-2</v>
      </c>
    </row>
    <row r="157" spans="1:26" s="28" customFormat="1" outlineLevel="1" collapsed="1" x14ac:dyDescent="0.3">
      <c r="A157" s="29"/>
      <c r="B157" s="14" t="str">
        <f>CONCATENATE("     ","Depreciation                                      ")</f>
        <v xml:space="preserve">     Depreciation                                      </v>
      </c>
      <c r="C157" s="14"/>
      <c r="D157" s="1">
        <f>SUM(OSRRefD22_5x_0)</f>
        <v>31001.120000000003</v>
      </c>
      <c r="E157" s="1"/>
      <c r="F157" s="5">
        <f t="shared" si="41"/>
        <v>1.6701677685406952E-2</v>
      </c>
      <c r="G157" s="1"/>
      <c r="H157" s="1">
        <f>SUM(OSRRefH22_5x_0)</f>
        <v>31369.77</v>
      </c>
      <c r="I157" s="1"/>
      <c r="J157" s="5">
        <f t="shared" si="42"/>
        <v>1.5018368096753732E-2</v>
      </c>
      <c r="K157" s="1"/>
      <c r="L157" s="1">
        <f t="shared" si="43"/>
        <v>-368.64999999999782</v>
      </c>
      <c r="M157" s="1"/>
      <c r="N157" s="5">
        <f t="shared" si="44"/>
        <v>-1.1751759735567007E-2</v>
      </c>
      <c r="O157" s="14"/>
      <c r="P157" s="1">
        <f>SUM(OSRRefP22_5x_0)</f>
        <v>62002.240000000005</v>
      </c>
      <c r="Q157" s="1"/>
      <c r="R157" s="5">
        <f t="shared" si="45"/>
        <v>2.8546511918608335E-2</v>
      </c>
      <c r="S157" s="1"/>
      <c r="T157" s="1">
        <f>SUM(OSRRefT22_5x_0)</f>
        <v>61997.07</v>
      </c>
      <c r="U157" s="1"/>
      <c r="V157" s="5">
        <f t="shared" si="46"/>
        <v>2.4559183904116724E-2</v>
      </c>
      <c r="W157" s="1"/>
      <c r="X157" s="1">
        <f t="shared" si="47"/>
        <v>5.1700000000055297</v>
      </c>
      <c r="Y157" s="1"/>
      <c r="Z157" s="5">
        <f t="shared" si="48"/>
        <v>8.339103767332117E-5</v>
      </c>
    </row>
    <row r="158" spans="1:26" s="24" customFormat="1" hidden="1" outlineLevel="2" x14ac:dyDescent="0.3">
      <c r="A158" s="27"/>
      <c r="B158" s="11" t="str">
        <f>CONCATENATE("          ", "6321", " - ", "BUILDING DEPRECIATION")</f>
        <v xml:space="preserve">          6321 - BUILDING DEPRECIATION</v>
      </c>
      <c r="C158" s="11"/>
      <c r="D158" s="7">
        <v>16396.52</v>
      </c>
      <c r="E158" s="2"/>
      <c r="F158" s="8">
        <f t="shared" si="41"/>
        <v>8.8335322143951178E-3</v>
      </c>
      <c r="G158" s="2"/>
      <c r="H158" s="7">
        <v>16396.52</v>
      </c>
      <c r="I158" s="2"/>
      <c r="J158" s="8">
        <f t="shared" si="42"/>
        <v>7.8498813624003141E-3</v>
      </c>
      <c r="K158" s="2"/>
      <c r="L158" s="7">
        <f t="shared" si="43"/>
        <v>0</v>
      </c>
      <c r="M158" s="2"/>
      <c r="N158" s="8">
        <f t="shared" si="44"/>
        <v>0</v>
      </c>
      <c r="O158" s="11"/>
      <c r="P158" s="7">
        <v>32793.040000000001</v>
      </c>
      <c r="Q158" s="2"/>
      <c r="R158" s="8">
        <f t="shared" si="45"/>
        <v>1.5098275597904201E-2</v>
      </c>
      <c r="S158" s="2"/>
      <c r="T158" s="7">
        <v>32793.040000000001</v>
      </c>
      <c r="U158" s="2"/>
      <c r="V158" s="8">
        <f t="shared" si="46"/>
        <v>1.2990457454441894E-2</v>
      </c>
      <c r="W158" s="2"/>
      <c r="X158" s="7">
        <f t="shared" si="47"/>
        <v>0</v>
      </c>
      <c r="Y158" s="2"/>
      <c r="Z158" s="8">
        <f t="shared" si="48"/>
        <v>0</v>
      </c>
    </row>
    <row r="159" spans="1:26" s="24" customFormat="1" hidden="1" outlineLevel="2" x14ac:dyDescent="0.3">
      <c r="A159" s="27"/>
      <c r="B159" s="11" t="str">
        <f>CONCATENATE("          ", "6322", " - ", "EQUIPMENT DEPRECIATION EXPENSE")</f>
        <v xml:space="preserve">          6322 - EQUIPMENT DEPRECIATION EXPENSE</v>
      </c>
      <c r="C159" s="11"/>
      <c r="D159" s="7">
        <v>14604.6</v>
      </c>
      <c r="E159" s="2"/>
      <c r="F159" s="8">
        <f t="shared" si="41"/>
        <v>7.868145471011832E-3</v>
      </c>
      <c r="G159" s="2"/>
      <c r="H159" s="7">
        <v>14973.25</v>
      </c>
      <c r="I159" s="2"/>
      <c r="J159" s="8">
        <f t="shared" si="42"/>
        <v>7.1684867343534174E-3</v>
      </c>
      <c r="K159" s="2"/>
      <c r="L159" s="7">
        <f t="shared" si="43"/>
        <v>-368.64999999999964</v>
      </c>
      <c r="M159" s="2"/>
      <c r="N159" s="8">
        <f t="shared" si="44"/>
        <v>-2.4620573355817851E-2</v>
      </c>
      <c r="O159" s="11"/>
      <c r="P159" s="7">
        <v>29209.200000000001</v>
      </c>
      <c r="Q159" s="2"/>
      <c r="R159" s="8">
        <f t="shared" si="45"/>
        <v>1.344823632070413E-2</v>
      </c>
      <c r="S159" s="2"/>
      <c r="T159" s="7">
        <v>29204.03</v>
      </c>
      <c r="U159" s="2"/>
      <c r="V159" s="8">
        <f t="shared" si="46"/>
        <v>1.156872644967483E-2</v>
      </c>
      <c r="W159" s="2"/>
      <c r="X159" s="7">
        <f t="shared" si="47"/>
        <v>5.1700000000018917</v>
      </c>
      <c r="Y159" s="2"/>
      <c r="Z159" s="8">
        <f t="shared" si="48"/>
        <v>1.7703036190559632E-4</v>
      </c>
    </row>
    <row r="160" spans="1:26" s="28" customFormat="1" outlineLevel="1" collapsed="1" x14ac:dyDescent="0.3">
      <c r="A160" s="29"/>
      <c r="B160" s="14" t="str">
        <f>CONCATENATE("     ","Discounts and Markdowns                           ")</f>
        <v xml:space="preserve">     Discounts and Markdowns                           </v>
      </c>
      <c r="C160" s="14"/>
      <c r="D160" s="1">
        <f>SUM(OSRRefD22_6x_0)</f>
        <v>-157.30000000000001</v>
      </c>
      <c r="E160" s="1"/>
      <c r="F160" s="5">
        <f t="shared" ref="F160:F162" si="49">IF(D$12=0,0,D160/D$12)</f>
        <v>-8.4744483422357429E-5</v>
      </c>
      <c r="G160" s="1"/>
      <c r="H160" s="1">
        <f>SUM(OSRRefH22_6x_0)</f>
        <v>0</v>
      </c>
      <c r="I160" s="1"/>
      <c r="J160" s="5">
        <f t="shared" ref="J160:J162" si="50">IF(H$12=0,0,H160/H$12)</f>
        <v>0</v>
      </c>
      <c r="K160" s="1"/>
      <c r="L160" s="1">
        <f t="shared" ref="L160:L162" si="51">+D160-H160</f>
        <v>-157.30000000000001</v>
      </c>
      <c r="M160" s="1"/>
      <c r="N160" s="5">
        <f t="shared" ref="N160:N162" si="52">IF(H160=0,0,L160/H160)</f>
        <v>0</v>
      </c>
      <c r="O160" s="14"/>
      <c r="P160" s="1">
        <f>SUM(OSRRefP22_6x_0)</f>
        <v>-157.97999999999999</v>
      </c>
      <c r="Q160" s="1"/>
      <c r="R160" s="5">
        <f t="shared" ref="R160:R162" si="53">IF(P$12=0,0,P160/P$12)</f>
        <v>-7.2735726207661918E-5</v>
      </c>
      <c r="S160" s="1"/>
      <c r="T160" s="1">
        <f>SUM(OSRRefT22_6x_0)</f>
        <v>0</v>
      </c>
      <c r="U160" s="1"/>
      <c r="V160" s="5">
        <f t="shared" ref="V160:V162" si="54">IF(T$12=0,0,T160/T$12)</f>
        <v>0</v>
      </c>
      <c r="W160" s="1"/>
      <c r="X160" s="1">
        <f t="shared" ref="X160:X162" si="55">+P160-T160</f>
        <v>-157.97999999999999</v>
      </c>
      <c r="Y160" s="1"/>
      <c r="Z160" s="5">
        <f t="shared" ref="Z160:Z162" si="56">IF(T160=0,0,X160/T160)</f>
        <v>0</v>
      </c>
    </row>
    <row r="161" spans="1:26" s="24" customFormat="1" hidden="1" outlineLevel="2" x14ac:dyDescent="0.3">
      <c r="A161" s="27"/>
      <c r="B161" s="11" t="str">
        <f>CONCATENATE("          ", "6382", " - ", "DISCOUNTS/MARK DOWNS")</f>
        <v xml:space="preserve">          6382 - DISCOUNTS/MARK DOWNS</v>
      </c>
      <c r="C161" s="11"/>
      <c r="D161" s="7"/>
      <c r="E161" s="2"/>
      <c r="F161" s="8">
        <f t="shared" si="49"/>
        <v>0</v>
      </c>
      <c r="G161" s="2"/>
      <c r="H161" s="7">
        <v>0</v>
      </c>
      <c r="I161" s="2"/>
      <c r="J161" s="8">
        <f t="shared" si="50"/>
        <v>0</v>
      </c>
      <c r="K161" s="2"/>
      <c r="L161" s="7">
        <f t="shared" si="51"/>
        <v>0</v>
      </c>
      <c r="M161" s="2"/>
      <c r="N161" s="8">
        <f t="shared" si="52"/>
        <v>0</v>
      </c>
      <c r="O161" s="11"/>
      <c r="P161" s="7"/>
      <c r="Q161" s="2"/>
      <c r="R161" s="8">
        <f t="shared" si="53"/>
        <v>0</v>
      </c>
      <c r="S161" s="2"/>
      <c r="T161" s="7">
        <v>0</v>
      </c>
      <c r="U161" s="2"/>
      <c r="V161" s="8">
        <f t="shared" si="54"/>
        <v>0</v>
      </c>
      <c r="W161" s="2"/>
      <c r="X161" s="7">
        <f t="shared" si="55"/>
        <v>0</v>
      </c>
      <c r="Y161" s="2"/>
      <c r="Z161" s="8">
        <f t="shared" si="56"/>
        <v>0</v>
      </c>
    </row>
    <row r="162" spans="1:26" s="24" customFormat="1" hidden="1" outlineLevel="2" x14ac:dyDescent="0.3">
      <c r="A162" s="27"/>
      <c r="B162" s="11" t="str">
        <f>CONCATENATE("          ", "9175", " - ", "EARNED DISCOUNTS")</f>
        <v xml:space="preserve">          9175 - EARNED DISCOUNTS</v>
      </c>
      <c r="C162" s="11"/>
      <c r="D162" s="7">
        <v>-157.30000000000001</v>
      </c>
      <c r="E162" s="2"/>
      <c r="F162" s="8">
        <f t="shared" si="49"/>
        <v>-8.4744483422357429E-5</v>
      </c>
      <c r="G162" s="2"/>
      <c r="H162" s="7"/>
      <c r="I162" s="2"/>
      <c r="J162" s="8">
        <f t="shared" si="50"/>
        <v>0</v>
      </c>
      <c r="K162" s="2"/>
      <c r="L162" s="7">
        <f t="shared" si="51"/>
        <v>-157.30000000000001</v>
      </c>
      <c r="M162" s="2"/>
      <c r="N162" s="8">
        <f t="shared" si="52"/>
        <v>0</v>
      </c>
      <c r="O162" s="11"/>
      <c r="P162" s="7">
        <v>-157.97999999999999</v>
      </c>
      <c r="Q162" s="2"/>
      <c r="R162" s="8">
        <f t="shared" si="53"/>
        <v>-7.2735726207661918E-5</v>
      </c>
      <c r="S162" s="2"/>
      <c r="T162" s="7"/>
      <c r="U162" s="2"/>
      <c r="V162" s="8">
        <f t="shared" si="54"/>
        <v>0</v>
      </c>
      <c r="W162" s="2"/>
      <c r="X162" s="7">
        <f t="shared" si="55"/>
        <v>-157.97999999999999</v>
      </c>
      <c r="Y162" s="2"/>
      <c r="Z162" s="8">
        <f t="shared" si="56"/>
        <v>0</v>
      </c>
    </row>
    <row r="163" spans="1:26" s="28" customFormat="1" outlineLevel="1" collapsed="1" x14ac:dyDescent="0.3">
      <c r="A163" s="29"/>
      <c r="B163" s="14" t="str">
        <f>CONCATENATE("     ","Employees' Appreciation                           ")</f>
        <v xml:space="preserve">     Employees' Appreciation                           </v>
      </c>
      <c r="C163" s="14"/>
      <c r="D163" s="1">
        <f>SUM(OSRRefD22_7x_0)</f>
        <v>400</v>
      </c>
      <c r="E163" s="1"/>
      <c r="F163" s="5">
        <f t="shared" ref="F163:F169" si="57">IF(D$12=0,0,D163/D$12)</f>
        <v>2.1549773279684023E-4</v>
      </c>
      <c r="G163" s="1"/>
      <c r="H163" s="1">
        <f>SUM(OSRRefH22_7x_0)</f>
        <v>0</v>
      </c>
      <c r="I163" s="1"/>
      <c r="J163" s="5">
        <f t="shared" ref="J163:J169" si="58">IF(H$12=0,0,H163/H$12)</f>
        <v>0</v>
      </c>
      <c r="K163" s="1"/>
      <c r="L163" s="1">
        <f t="shared" ref="L163:L169" si="59">+D163-H163</f>
        <v>400</v>
      </c>
      <c r="M163" s="1"/>
      <c r="N163" s="5">
        <f t="shared" ref="N163:N169" si="60">IF(H163=0,0,L163/H163)</f>
        <v>0</v>
      </c>
      <c r="O163" s="14"/>
      <c r="P163" s="1">
        <f>SUM(OSRRefP22_7x_0)</f>
        <v>937.36</v>
      </c>
      <c r="Q163" s="1"/>
      <c r="R163" s="5">
        <f t="shared" ref="R163:R169" si="61">IF(P$12=0,0,P163/P$12)</f>
        <v>4.3157083376385607E-4</v>
      </c>
      <c r="S163" s="1"/>
      <c r="T163" s="1">
        <f>SUM(OSRRefT22_7x_0)</f>
        <v>107.7</v>
      </c>
      <c r="U163" s="1"/>
      <c r="V163" s="5">
        <f t="shared" ref="V163:V169" si="62">IF(T$12=0,0,T163/T$12)</f>
        <v>4.2663695340334168E-5</v>
      </c>
      <c r="W163" s="1"/>
      <c r="X163" s="1">
        <f t="shared" ref="X163:X169" si="63">+P163-T163</f>
        <v>829.66</v>
      </c>
      <c r="Y163" s="1"/>
      <c r="Z163" s="5">
        <f t="shared" ref="Z163:Z169" si="64">IF(T163=0,0,X163/T163)</f>
        <v>7.7034354688950781</v>
      </c>
    </row>
    <row r="164" spans="1:26" s="24" customFormat="1" hidden="1" outlineLevel="2" x14ac:dyDescent="0.3">
      <c r="A164" s="27"/>
      <c r="B164" s="11" t="str">
        <f>CONCATENATE("          ", "6277", " - ", "EMPLOYEE APPRECIATION")</f>
        <v xml:space="preserve">          6277 - EMPLOYEE APPRECIATION</v>
      </c>
      <c r="C164" s="11"/>
      <c r="D164" s="7">
        <v>400</v>
      </c>
      <c r="E164" s="2"/>
      <c r="F164" s="8">
        <f t="shared" si="57"/>
        <v>2.1549773279684023E-4</v>
      </c>
      <c r="G164" s="2"/>
      <c r="H164" s="7"/>
      <c r="I164" s="2"/>
      <c r="J164" s="8">
        <f t="shared" si="58"/>
        <v>0</v>
      </c>
      <c r="K164" s="2"/>
      <c r="L164" s="7">
        <f t="shared" si="59"/>
        <v>400</v>
      </c>
      <c r="M164" s="2"/>
      <c r="N164" s="8">
        <f t="shared" si="60"/>
        <v>0</v>
      </c>
      <c r="O164" s="11"/>
      <c r="P164" s="7">
        <v>937.36</v>
      </c>
      <c r="Q164" s="2"/>
      <c r="R164" s="8">
        <f t="shared" si="61"/>
        <v>4.3157083376385607E-4</v>
      </c>
      <c r="S164" s="2"/>
      <c r="T164" s="7">
        <v>107.7</v>
      </c>
      <c r="U164" s="2"/>
      <c r="V164" s="8">
        <f t="shared" si="62"/>
        <v>4.2663695340334168E-5</v>
      </c>
      <c r="W164" s="2"/>
      <c r="X164" s="7">
        <f t="shared" si="63"/>
        <v>829.66</v>
      </c>
      <c r="Y164" s="2"/>
      <c r="Z164" s="8">
        <f t="shared" si="64"/>
        <v>7.7034354688950781</v>
      </c>
    </row>
    <row r="165" spans="1:26" s="28" customFormat="1" outlineLevel="1" collapsed="1" x14ac:dyDescent="0.3">
      <c r="A165" s="29"/>
      <c r="B165" s="14" t="str">
        <f>CONCATENATE("     ","Equipment Rental                                  ")</f>
        <v xml:space="preserve">     Equipment Rental                                  </v>
      </c>
      <c r="C165" s="14"/>
      <c r="D165" s="1">
        <f>SUM(OSRRefD22_8x_0)</f>
        <v>2303.73</v>
      </c>
      <c r="E165" s="1"/>
      <c r="F165" s="5">
        <f t="shared" si="57"/>
        <v>1.2411214799401618E-3</v>
      </c>
      <c r="G165" s="1"/>
      <c r="H165" s="1">
        <f>SUM(OSRRefH22_8x_0)</f>
        <v>1388.16</v>
      </c>
      <c r="I165" s="1"/>
      <c r="J165" s="5">
        <f t="shared" si="58"/>
        <v>6.6458561402234261E-4</v>
      </c>
      <c r="K165" s="1"/>
      <c r="L165" s="1">
        <f t="shared" si="59"/>
        <v>915.56999999999994</v>
      </c>
      <c r="M165" s="1"/>
      <c r="N165" s="5">
        <f t="shared" si="60"/>
        <v>0.65955653526970948</v>
      </c>
      <c r="O165" s="14"/>
      <c r="P165" s="1">
        <f>SUM(OSRRefP22_8x_0)</f>
        <v>3691.89</v>
      </c>
      <c r="Q165" s="1"/>
      <c r="R165" s="5">
        <f t="shared" si="61"/>
        <v>1.699786683306779E-3</v>
      </c>
      <c r="S165" s="1"/>
      <c r="T165" s="1">
        <f>SUM(OSRRefT22_8x_0)</f>
        <v>2776.32</v>
      </c>
      <c r="U165" s="1"/>
      <c r="V165" s="5">
        <f t="shared" si="62"/>
        <v>1.0997963848400796E-3</v>
      </c>
      <c r="W165" s="1"/>
      <c r="X165" s="1">
        <f t="shared" si="63"/>
        <v>915.56999999999971</v>
      </c>
      <c r="Y165" s="1"/>
      <c r="Z165" s="5">
        <f t="shared" si="64"/>
        <v>0.32977826763485463</v>
      </c>
    </row>
    <row r="166" spans="1:26" s="24" customFormat="1" hidden="1" outlineLevel="2" x14ac:dyDescent="0.3">
      <c r="A166" s="27"/>
      <c r="B166" s="11" t="str">
        <f>CONCATENATE("          ", "6351", " - ", "EQUIPMENT RENTAL")</f>
        <v xml:space="preserve">          6351 - EQUIPMENT RENTAL</v>
      </c>
      <c r="C166" s="11"/>
      <c r="D166" s="7">
        <v>2303.73</v>
      </c>
      <c r="E166" s="2"/>
      <c r="F166" s="8">
        <f t="shared" si="57"/>
        <v>1.2411214799401618E-3</v>
      </c>
      <c r="G166" s="2"/>
      <c r="H166" s="7">
        <v>1388.16</v>
      </c>
      <c r="I166" s="2"/>
      <c r="J166" s="8">
        <f t="shared" si="58"/>
        <v>6.6458561402234261E-4</v>
      </c>
      <c r="K166" s="2"/>
      <c r="L166" s="7">
        <f t="shared" si="59"/>
        <v>915.56999999999994</v>
      </c>
      <c r="M166" s="2"/>
      <c r="N166" s="8">
        <f t="shared" si="60"/>
        <v>0.65955653526970948</v>
      </c>
      <c r="O166" s="11"/>
      <c r="P166" s="7">
        <v>3691.89</v>
      </c>
      <c r="Q166" s="2"/>
      <c r="R166" s="8">
        <f t="shared" si="61"/>
        <v>1.699786683306779E-3</v>
      </c>
      <c r="S166" s="2"/>
      <c r="T166" s="7">
        <v>2776.32</v>
      </c>
      <c r="U166" s="2"/>
      <c r="V166" s="8">
        <f t="shared" si="62"/>
        <v>1.0997963848400796E-3</v>
      </c>
      <c r="W166" s="2"/>
      <c r="X166" s="7">
        <f t="shared" si="63"/>
        <v>915.56999999999971</v>
      </c>
      <c r="Y166" s="2"/>
      <c r="Z166" s="8">
        <f t="shared" si="64"/>
        <v>0.32977826763485463</v>
      </c>
    </row>
    <row r="167" spans="1:26" s="28" customFormat="1" outlineLevel="1" collapsed="1" x14ac:dyDescent="0.3">
      <c r="A167" s="29"/>
      <c r="B167" s="14" t="str">
        <f>CONCATENATE("     ","Freight out/Postage                               ")</f>
        <v xml:space="preserve">     Freight out/Postage                               </v>
      </c>
      <c r="C167" s="14"/>
      <c r="D167" s="1">
        <f>SUM(OSRRefD22_9x_0)</f>
        <v>-19372.54</v>
      </c>
      <c r="E167" s="1"/>
      <c r="F167" s="5">
        <f t="shared" si="57"/>
        <v>-1.0436846121290248E-2</v>
      </c>
      <c r="G167" s="1"/>
      <c r="H167" s="1">
        <f>SUM(OSRRefH22_9x_0)</f>
        <v>-83561.38</v>
      </c>
      <c r="I167" s="1"/>
      <c r="J167" s="5">
        <f t="shared" si="58"/>
        <v>-4.00052523022233E-2</v>
      </c>
      <c r="K167" s="1"/>
      <c r="L167" s="1">
        <f t="shared" si="59"/>
        <v>64188.840000000004</v>
      </c>
      <c r="M167" s="1"/>
      <c r="N167" s="5">
        <f t="shared" si="60"/>
        <v>-0.76816395325208842</v>
      </c>
      <c r="O167" s="14"/>
      <c r="P167" s="1">
        <f>SUM(OSRRefP22_9x_0)</f>
        <v>-15689.740000000002</v>
      </c>
      <c r="Q167" s="1"/>
      <c r="R167" s="5">
        <f t="shared" si="61"/>
        <v>-7.2237285283542323E-3</v>
      </c>
      <c r="S167" s="1"/>
      <c r="T167" s="1">
        <f>SUM(OSRRefT22_9x_0)</f>
        <v>-74622.12</v>
      </c>
      <c r="U167" s="1"/>
      <c r="V167" s="5">
        <f t="shared" si="62"/>
        <v>-2.9560402909283721E-2</v>
      </c>
      <c r="W167" s="1"/>
      <c r="X167" s="1">
        <f t="shared" si="63"/>
        <v>58932.37999999999</v>
      </c>
      <c r="Y167" s="1"/>
      <c r="Z167" s="5">
        <f t="shared" si="64"/>
        <v>-0.78974411340765971</v>
      </c>
    </row>
    <row r="168" spans="1:26" s="24" customFormat="1" hidden="1" outlineLevel="2" x14ac:dyDescent="0.3">
      <c r="A168" s="27"/>
      <c r="B168" s="11" t="str">
        <f>CONCATENATE("          ", "6305", " - ", "FREIGHT OUT")</f>
        <v xml:space="preserve">          6305 - FREIGHT OUT</v>
      </c>
      <c r="C168" s="11"/>
      <c r="D168" s="7">
        <v>4399.6499999999996</v>
      </c>
      <c r="E168" s="2"/>
      <c r="F168" s="8">
        <f t="shared" si="57"/>
        <v>2.370286500249045E-3</v>
      </c>
      <c r="G168" s="2"/>
      <c r="H168" s="7">
        <v>8415.86</v>
      </c>
      <c r="I168" s="2"/>
      <c r="J168" s="8">
        <f t="shared" si="58"/>
        <v>4.0291173104152781E-3</v>
      </c>
      <c r="K168" s="2"/>
      <c r="L168" s="7">
        <f t="shared" si="59"/>
        <v>-4016.2100000000009</v>
      </c>
      <c r="M168" s="2"/>
      <c r="N168" s="8">
        <f t="shared" si="60"/>
        <v>-0.477219202790921</v>
      </c>
      <c r="O168" s="11"/>
      <c r="P168" s="7">
        <v>15382.34</v>
      </c>
      <c r="Q168" s="2"/>
      <c r="R168" s="8">
        <f t="shared" si="61"/>
        <v>7.0821981939053445E-3</v>
      </c>
      <c r="S168" s="2"/>
      <c r="T168" s="7">
        <v>20510.560000000001</v>
      </c>
      <c r="U168" s="2"/>
      <c r="V168" s="8">
        <f t="shared" si="62"/>
        <v>8.1249422757627143E-3</v>
      </c>
      <c r="W168" s="2"/>
      <c r="X168" s="7">
        <f t="shared" si="63"/>
        <v>-5128.2200000000012</v>
      </c>
      <c r="Y168" s="2"/>
      <c r="Z168" s="8">
        <f t="shared" si="64"/>
        <v>-0.25002827811624845</v>
      </c>
    </row>
    <row r="169" spans="1:26" s="24" customFormat="1" hidden="1" outlineLevel="2" x14ac:dyDescent="0.3">
      <c r="A169" s="27"/>
      <c r="B169" s="11" t="str">
        <f>CONCATENATE("          ", "6307", " - ", "POSTAGE")</f>
        <v xml:space="preserve">          6307 - POSTAGE</v>
      </c>
      <c r="C169" s="11"/>
      <c r="D169" s="7">
        <v>-23772.19</v>
      </c>
      <c r="E169" s="2"/>
      <c r="F169" s="8">
        <f t="shared" si="57"/>
        <v>-1.2807132621539293E-2</v>
      </c>
      <c r="G169" s="2"/>
      <c r="H169" s="7">
        <v>-91977.24</v>
      </c>
      <c r="I169" s="2"/>
      <c r="J169" s="8">
        <f t="shared" si="58"/>
        <v>-4.4034369612638576E-2</v>
      </c>
      <c r="K169" s="2"/>
      <c r="L169" s="7">
        <f t="shared" si="59"/>
        <v>68205.05</v>
      </c>
      <c r="M169" s="2"/>
      <c r="N169" s="8">
        <f t="shared" si="60"/>
        <v>-0.74154269034382858</v>
      </c>
      <c r="O169" s="11"/>
      <c r="P169" s="7">
        <v>-31072.080000000002</v>
      </c>
      <c r="Q169" s="2"/>
      <c r="R169" s="8">
        <f t="shared" si="61"/>
        <v>-1.4305926722259577E-2</v>
      </c>
      <c r="S169" s="2"/>
      <c r="T169" s="7">
        <v>-95132.68</v>
      </c>
      <c r="U169" s="2"/>
      <c r="V169" s="8">
        <f t="shared" si="62"/>
        <v>-3.7685345185046439E-2</v>
      </c>
      <c r="W169" s="2"/>
      <c r="X169" s="7">
        <f t="shared" si="63"/>
        <v>64060.599999999991</v>
      </c>
      <c r="Y169" s="2"/>
      <c r="Z169" s="8">
        <f t="shared" si="64"/>
        <v>-0.67338163920116612</v>
      </c>
    </row>
    <row r="170" spans="1:26" s="28" customFormat="1" outlineLevel="1" collapsed="1" x14ac:dyDescent="0.3">
      <c r="A170" s="29"/>
      <c r="B170" s="14" t="str">
        <f>CONCATENATE("     ","General                                           ")</f>
        <v xml:space="preserve">     General                                           </v>
      </c>
      <c r="C170" s="14"/>
      <c r="D170" s="1">
        <f>SUM(OSRRefD22_10x_0)</f>
        <v>997.29</v>
      </c>
      <c r="E170" s="1"/>
      <c r="F170" s="5">
        <f t="shared" ref="F170:F176" si="65">IF(D$12=0,0,D170/D$12)</f>
        <v>5.3728433485240195E-4</v>
      </c>
      <c r="G170" s="1"/>
      <c r="H170" s="1">
        <f>SUM(OSRRefH22_10x_0)</f>
        <v>113.26</v>
      </c>
      <c r="I170" s="1"/>
      <c r="J170" s="5">
        <f t="shared" ref="J170:J176" si="66">IF(H$12=0,0,H170/H$12)</f>
        <v>5.4223552504156954E-5</v>
      </c>
      <c r="K170" s="1"/>
      <c r="L170" s="1">
        <f t="shared" ref="L170:L176" si="67">+D170-H170</f>
        <v>884.03</v>
      </c>
      <c r="M170" s="1"/>
      <c r="N170" s="5">
        <f t="shared" ref="N170:N176" si="68">IF(H170=0,0,L170/H170)</f>
        <v>7.8053152039554998</v>
      </c>
      <c r="O170" s="14"/>
      <c r="P170" s="1">
        <f>SUM(OSRRefP22_10x_0)</f>
        <v>1775.29</v>
      </c>
      <c r="Q170" s="1"/>
      <c r="R170" s="5">
        <f t="shared" ref="R170:R176" si="69">IF(P$12=0,0,P170/P$12)</f>
        <v>8.1736300404608258E-4</v>
      </c>
      <c r="S170" s="1"/>
      <c r="T170" s="1">
        <f>SUM(OSRRefT22_10x_0)</f>
        <v>-3236.98</v>
      </c>
      <c r="U170" s="1"/>
      <c r="V170" s="5">
        <f t="shared" ref="V170:V176" si="70">IF(T$12=0,0,T170/T$12)</f>
        <v>-1.282279745058077E-3</v>
      </c>
      <c r="W170" s="1"/>
      <c r="X170" s="1">
        <f t="shared" ref="X170:X176" si="71">+P170-T170</f>
        <v>5012.2700000000004</v>
      </c>
      <c r="Y170" s="1"/>
      <c r="Z170" s="5">
        <f t="shared" ref="Z170:Z176" si="72">IF(T170=0,0,X170/T170)</f>
        <v>-1.5484402127909349</v>
      </c>
    </row>
    <row r="171" spans="1:26" s="24" customFormat="1" hidden="1" outlineLevel="2" x14ac:dyDescent="0.3">
      <c r="A171" s="27"/>
      <c r="B171" s="11" t="str">
        <f>CONCATENATE("          ", "6279", " - ", "GENERAL EXPENSE")</f>
        <v xml:space="preserve">          6279 - GENERAL EXPENSE</v>
      </c>
      <c r="C171" s="11"/>
      <c r="D171" s="7">
        <v>997.29</v>
      </c>
      <c r="E171" s="2"/>
      <c r="F171" s="8">
        <f t="shared" si="65"/>
        <v>5.3728433485240195E-4</v>
      </c>
      <c r="G171" s="2"/>
      <c r="H171" s="7">
        <v>113.26</v>
      </c>
      <c r="I171" s="2"/>
      <c r="J171" s="8">
        <f t="shared" si="66"/>
        <v>5.4223552504156954E-5</v>
      </c>
      <c r="K171" s="2"/>
      <c r="L171" s="7">
        <f t="shared" si="67"/>
        <v>884.03</v>
      </c>
      <c r="M171" s="2"/>
      <c r="N171" s="8">
        <f t="shared" si="68"/>
        <v>7.8053152039554998</v>
      </c>
      <c r="O171" s="11"/>
      <c r="P171" s="7">
        <v>1775.29</v>
      </c>
      <c r="Q171" s="2"/>
      <c r="R171" s="8">
        <f t="shared" si="69"/>
        <v>8.1736300404608258E-4</v>
      </c>
      <c r="S171" s="2"/>
      <c r="T171" s="7">
        <v>-3236.98</v>
      </c>
      <c r="U171" s="2"/>
      <c r="V171" s="8">
        <f t="shared" si="70"/>
        <v>-1.282279745058077E-3</v>
      </c>
      <c r="W171" s="2"/>
      <c r="X171" s="7">
        <f t="shared" si="71"/>
        <v>5012.2700000000004</v>
      </c>
      <c r="Y171" s="2"/>
      <c r="Z171" s="8">
        <f t="shared" si="72"/>
        <v>-1.5484402127909349</v>
      </c>
    </row>
    <row r="172" spans="1:26" s="28" customFormat="1" outlineLevel="1" collapsed="1" x14ac:dyDescent="0.3">
      <c r="A172" s="29"/>
      <c r="B172" s="14" t="str">
        <f>CONCATENATE("     ","Insurance                                         ")</f>
        <v xml:space="preserve">     Insurance                                         </v>
      </c>
      <c r="C172" s="14"/>
      <c r="D172" s="1">
        <f>SUM(OSRRefD22_11x_0)</f>
        <v>5494.57</v>
      </c>
      <c r="E172" s="1"/>
      <c r="F172" s="5">
        <f t="shared" si="65"/>
        <v>2.9601684442338359E-3</v>
      </c>
      <c r="G172" s="1"/>
      <c r="H172" s="1">
        <f>SUM(OSRRefH22_11x_0)</f>
        <v>4044.74</v>
      </c>
      <c r="I172" s="1"/>
      <c r="J172" s="5">
        <f t="shared" si="66"/>
        <v>1.9364309708252143E-3</v>
      </c>
      <c r="K172" s="1"/>
      <c r="L172" s="1">
        <f t="shared" si="67"/>
        <v>1449.83</v>
      </c>
      <c r="M172" s="1"/>
      <c r="N172" s="5">
        <f t="shared" si="68"/>
        <v>0.35844825625380122</v>
      </c>
      <c r="O172" s="14"/>
      <c r="P172" s="1">
        <f>SUM(OSRRefP22_11x_0)</f>
        <v>10989.14</v>
      </c>
      <c r="Q172" s="1"/>
      <c r="R172" s="5">
        <f t="shared" si="69"/>
        <v>5.0595206880470053E-3</v>
      </c>
      <c r="S172" s="1"/>
      <c r="T172" s="1">
        <f>SUM(OSRRefT22_11x_0)</f>
        <v>8089.48</v>
      </c>
      <c r="U172" s="1"/>
      <c r="V172" s="5">
        <f t="shared" si="70"/>
        <v>3.204522842912966E-3</v>
      </c>
      <c r="W172" s="1"/>
      <c r="X172" s="1">
        <f t="shared" si="71"/>
        <v>2899.66</v>
      </c>
      <c r="Y172" s="1"/>
      <c r="Z172" s="5">
        <f t="shared" si="72"/>
        <v>0.35844825625380122</v>
      </c>
    </row>
    <row r="173" spans="1:26" s="24" customFormat="1" hidden="1" outlineLevel="2" x14ac:dyDescent="0.3">
      <c r="A173" s="27"/>
      <c r="B173" s="11" t="str">
        <f>CONCATENATE("          ", "6314", " - ", "LIABILITY INSURANCE")</f>
        <v xml:space="preserve">          6314 - LIABILITY INSURANCE</v>
      </c>
      <c r="C173" s="11"/>
      <c r="D173" s="7">
        <v>5494.57</v>
      </c>
      <c r="E173" s="2"/>
      <c r="F173" s="8">
        <f t="shared" si="65"/>
        <v>2.9601684442338359E-3</v>
      </c>
      <c r="G173" s="2"/>
      <c r="H173" s="7">
        <v>4044.74</v>
      </c>
      <c r="I173" s="2"/>
      <c r="J173" s="8">
        <f t="shared" si="66"/>
        <v>1.9364309708252143E-3</v>
      </c>
      <c r="K173" s="2"/>
      <c r="L173" s="7">
        <f t="shared" si="67"/>
        <v>1449.83</v>
      </c>
      <c r="M173" s="2"/>
      <c r="N173" s="8">
        <f t="shared" si="68"/>
        <v>0.35844825625380122</v>
      </c>
      <c r="O173" s="11"/>
      <c r="P173" s="7">
        <v>10989.14</v>
      </c>
      <c r="Q173" s="2"/>
      <c r="R173" s="8">
        <f t="shared" si="69"/>
        <v>5.0595206880470053E-3</v>
      </c>
      <c r="S173" s="2"/>
      <c r="T173" s="7">
        <v>8089.48</v>
      </c>
      <c r="U173" s="2"/>
      <c r="V173" s="8">
        <f t="shared" si="70"/>
        <v>3.204522842912966E-3</v>
      </c>
      <c r="W173" s="2"/>
      <c r="X173" s="7">
        <f t="shared" si="71"/>
        <v>2899.66</v>
      </c>
      <c r="Y173" s="2"/>
      <c r="Z173" s="8">
        <f t="shared" si="72"/>
        <v>0.35844825625380122</v>
      </c>
    </row>
    <row r="174" spans="1:26" s="28" customFormat="1" outlineLevel="1" collapsed="1" x14ac:dyDescent="0.3">
      <c r="A174" s="29"/>
      <c r="B174" s="14" t="str">
        <f>CONCATENATE("     ","Inventory Adjustment                              ")</f>
        <v xml:space="preserve">     Inventory Adjustment                              </v>
      </c>
      <c r="C174" s="14"/>
      <c r="D174" s="1">
        <f>SUM(OSRRefD22_12x_0)</f>
        <v>7120</v>
      </c>
      <c r="E174" s="1"/>
      <c r="F174" s="5">
        <f t="shared" si="65"/>
        <v>3.835859643783756E-3</v>
      </c>
      <c r="G174" s="1"/>
      <c r="H174" s="1">
        <f>SUM(OSRRefH22_12x_0)</f>
        <v>3350</v>
      </c>
      <c r="I174" s="1"/>
      <c r="J174" s="5">
        <f t="shared" si="66"/>
        <v>1.6038221869055782E-3</v>
      </c>
      <c r="K174" s="1"/>
      <c r="L174" s="1">
        <f t="shared" si="67"/>
        <v>3770</v>
      </c>
      <c r="M174" s="1"/>
      <c r="N174" s="5">
        <f t="shared" si="68"/>
        <v>1.1253731343283582</v>
      </c>
      <c r="O174" s="14"/>
      <c r="P174" s="1">
        <f>SUM(OSRRefP22_12x_0)</f>
        <v>13690</v>
      </c>
      <c r="Q174" s="1"/>
      <c r="R174" s="5">
        <f t="shared" si="69"/>
        <v>6.3030262804335468E-3</v>
      </c>
      <c r="S174" s="1"/>
      <c r="T174" s="1">
        <f>SUM(OSRRefT22_12x_0)</f>
        <v>6700</v>
      </c>
      <c r="U174" s="1"/>
      <c r="V174" s="5">
        <f t="shared" si="70"/>
        <v>2.654101752834159E-3</v>
      </c>
      <c r="W174" s="1"/>
      <c r="X174" s="1">
        <f t="shared" si="71"/>
        <v>6990</v>
      </c>
      <c r="Y174" s="1"/>
      <c r="Z174" s="5">
        <f t="shared" si="72"/>
        <v>1.0432835820895523</v>
      </c>
    </row>
    <row r="175" spans="1:26" s="24" customFormat="1" hidden="1" outlineLevel="2" x14ac:dyDescent="0.3">
      <c r="A175" s="27"/>
      <c r="B175" s="11" t="str">
        <f>CONCATENATE("          ", "6408", " - ", "INVENTORY ADJUSTMENT")</f>
        <v xml:space="preserve">          6408 - INVENTORY ADJUSTMENT</v>
      </c>
      <c r="C175" s="11"/>
      <c r="D175" s="7">
        <v>7120</v>
      </c>
      <c r="E175" s="2"/>
      <c r="F175" s="8">
        <f t="shared" si="65"/>
        <v>3.835859643783756E-3</v>
      </c>
      <c r="G175" s="2"/>
      <c r="H175" s="7">
        <v>3350</v>
      </c>
      <c r="I175" s="2"/>
      <c r="J175" s="8">
        <f t="shared" si="66"/>
        <v>1.6038221869055782E-3</v>
      </c>
      <c r="K175" s="2"/>
      <c r="L175" s="7">
        <f t="shared" si="67"/>
        <v>3770</v>
      </c>
      <c r="M175" s="2"/>
      <c r="N175" s="8">
        <f t="shared" si="68"/>
        <v>1.1253731343283582</v>
      </c>
      <c r="O175" s="11"/>
      <c r="P175" s="7">
        <v>13690</v>
      </c>
      <c r="Q175" s="2"/>
      <c r="R175" s="8">
        <f t="shared" si="69"/>
        <v>6.3030262804335468E-3</v>
      </c>
      <c r="S175" s="2"/>
      <c r="T175" s="7">
        <v>6700</v>
      </c>
      <c r="U175" s="2"/>
      <c r="V175" s="8">
        <f t="shared" si="70"/>
        <v>2.654101752834159E-3</v>
      </c>
      <c r="W175" s="2"/>
      <c r="X175" s="7">
        <f t="shared" si="71"/>
        <v>6990</v>
      </c>
      <c r="Y175" s="2"/>
      <c r="Z175" s="8">
        <f t="shared" si="72"/>
        <v>1.0432835820895523</v>
      </c>
    </row>
    <row r="176" spans="1:26" s="24" customFormat="1" hidden="1" outlineLevel="2" x14ac:dyDescent="0.3">
      <c r="A176" s="27"/>
      <c r="B176" s="11" t="str">
        <f>CONCATENATE("          ", "7741", " - ", "INV. SHRINKAGE-LOGO GIFTS")</f>
        <v xml:space="preserve">          7741 - INV. SHRINKAGE-LOGO GIFTS</v>
      </c>
      <c r="C176" s="11"/>
      <c r="D176" s="7"/>
      <c r="E176" s="2"/>
      <c r="F176" s="8">
        <f t="shared" si="65"/>
        <v>0</v>
      </c>
      <c r="G176" s="2"/>
      <c r="H176" s="7"/>
      <c r="I176" s="2"/>
      <c r="J176" s="8">
        <f t="shared" si="66"/>
        <v>0</v>
      </c>
      <c r="K176" s="2"/>
      <c r="L176" s="7">
        <f t="shared" si="67"/>
        <v>0</v>
      </c>
      <c r="M176" s="2"/>
      <c r="N176" s="8">
        <f t="shared" si="68"/>
        <v>0</v>
      </c>
      <c r="O176" s="11"/>
      <c r="P176" s="7"/>
      <c r="Q176" s="2"/>
      <c r="R176" s="8">
        <f t="shared" si="69"/>
        <v>0</v>
      </c>
      <c r="S176" s="2"/>
      <c r="T176" s="7">
        <v>0</v>
      </c>
      <c r="U176" s="2"/>
      <c r="V176" s="8">
        <f t="shared" si="70"/>
        <v>0</v>
      </c>
      <c r="W176" s="2"/>
      <c r="X176" s="7">
        <f t="shared" si="71"/>
        <v>0</v>
      </c>
      <c r="Y176" s="2"/>
      <c r="Z176" s="8">
        <f t="shared" si="72"/>
        <v>0</v>
      </c>
    </row>
    <row r="177" spans="1:26" s="28" customFormat="1" outlineLevel="1" collapsed="1" x14ac:dyDescent="0.3">
      <c r="A177" s="29"/>
      <c r="B177" s="14" t="str">
        <f>CONCATENATE("     ","Rent                                              ")</f>
        <v xml:space="preserve">     Rent                                              </v>
      </c>
      <c r="C177" s="14"/>
      <c r="D177" s="1">
        <f>SUM(OSRRefD22_13x_0)</f>
        <v>6100</v>
      </c>
      <c r="E177" s="1"/>
      <c r="F177" s="5">
        <f t="shared" ref="F177:F183" si="73">IF(D$12=0,0,D177/D$12)</f>
        <v>3.2863404251518135E-3</v>
      </c>
      <c r="G177" s="1"/>
      <c r="H177" s="1">
        <f>SUM(OSRRefH22_13x_0)</f>
        <v>6100</v>
      </c>
      <c r="I177" s="1"/>
      <c r="J177" s="5">
        <f t="shared" ref="J177:J183" si="74">IF(H$12=0,0,H177/H$12)</f>
        <v>2.9203926388429932E-3</v>
      </c>
      <c r="K177" s="1"/>
      <c r="L177" s="1">
        <f t="shared" ref="L177:L183" si="75">+D177-H177</f>
        <v>0</v>
      </c>
      <c r="M177" s="1"/>
      <c r="N177" s="5">
        <f t="shared" ref="N177:N183" si="76">IF(H177=0,0,L177/H177)</f>
        <v>0</v>
      </c>
      <c r="O177" s="14"/>
      <c r="P177" s="1">
        <f>SUM(OSRRefP22_13x_0)</f>
        <v>12200</v>
      </c>
      <c r="Q177" s="1"/>
      <c r="R177" s="5">
        <f t="shared" ref="R177:R183" si="77">IF(P$12=0,0,P177/P$12)</f>
        <v>5.617013924126316E-3</v>
      </c>
      <c r="S177" s="1"/>
      <c r="T177" s="1">
        <f>SUM(OSRRefT22_13x_0)</f>
        <v>12200</v>
      </c>
      <c r="U177" s="1"/>
      <c r="V177" s="5">
        <f t="shared" ref="V177:V183" si="78">IF(T$12=0,0,T177/T$12)</f>
        <v>4.8328419976980206E-3</v>
      </c>
      <c r="W177" s="1"/>
      <c r="X177" s="1">
        <f t="shared" ref="X177:X183" si="79">+P177-T177</f>
        <v>0</v>
      </c>
      <c r="Y177" s="1"/>
      <c r="Z177" s="5">
        <f t="shared" ref="Z177:Z183" si="80">IF(T177=0,0,X177/T177)</f>
        <v>0</v>
      </c>
    </row>
    <row r="178" spans="1:26" s="24" customFormat="1" hidden="1" outlineLevel="2" x14ac:dyDescent="0.3">
      <c r="A178" s="27"/>
      <c r="B178" s="11" t="str">
        <f>CONCATENATE("          ", "6273", " - ", "RENT")</f>
        <v xml:space="preserve">          6273 - RENT</v>
      </c>
      <c r="C178" s="11"/>
      <c r="D178" s="7">
        <v>6100</v>
      </c>
      <c r="E178" s="2"/>
      <c r="F178" s="8">
        <f t="shared" si="73"/>
        <v>3.2863404251518135E-3</v>
      </c>
      <c r="G178" s="2"/>
      <c r="H178" s="7">
        <v>6100</v>
      </c>
      <c r="I178" s="2"/>
      <c r="J178" s="8">
        <f t="shared" si="74"/>
        <v>2.9203926388429932E-3</v>
      </c>
      <c r="K178" s="2"/>
      <c r="L178" s="7">
        <f t="shared" si="75"/>
        <v>0</v>
      </c>
      <c r="M178" s="2"/>
      <c r="N178" s="8">
        <f t="shared" si="76"/>
        <v>0</v>
      </c>
      <c r="O178" s="11"/>
      <c r="P178" s="7">
        <v>12200</v>
      </c>
      <c r="Q178" s="2"/>
      <c r="R178" s="8">
        <f t="shared" si="77"/>
        <v>5.617013924126316E-3</v>
      </c>
      <c r="S178" s="2"/>
      <c r="T178" s="7">
        <v>12200</v>
      </c>
      <c r="U178" s="2"/>
      <c r="V178" s="8">
        <f t="shared" si="78"/>
        <v>4.8328419976980206E-3</v>
      </c>
      <c r="W178" s="2"/>
      <c r="X178" s="7">
        <f t="shared" si="79"/>
        <v>0</v>
      </c>
      <c r="Y178" s="2"/>
      <c r="Z178" s="8">
        <f t="shared" si="80"/>
        <v>0</v>
      </c>
    </row>
    <row r="179" spans="1:26" s="28" customFormat="1" outlineLevel="1" collapsed="1" x14ac:dyDescent="0.3">
      <c r="A179" s="29"/>
      <c r="B179" s="14" t="str">
        <f>CONCATENATE("     ","Repair and Maintenance                            ")</f>
        <v xml:space="preserve">     Repair and Maintenance                            </v>
      </c>
      <c r="C179" s="14"/>
      <c r="D179" s="1">
        <f>SUM(OSRRefD22_14x_0)</f>
        <v>8064.33</v>
      </c>
      <c r="E179" s="1"/>
      <c r="F179" s="5">
        <f t="shared" si="73"/>
        <v>4.3446120788138568E-3</v>
      </c>
      <c r="G179" s="1"/>
      <c r="H179" s="1">
        <f>SUM(OSRRefH22_14x_0)</f>
        <v>6705.0199999999995</v>
      </c>
      <c r="I179" s="1"/>
      <c r="J179" s="5">
        <f t="shared" si="74"/>
        <v>3.2100477133270564E-3</v>
      </c>
      <c r="K179" s="1"/>
      <c r="L179" s="1">
        <f t="shared" si="75"/>
        <v>1359.3100000000004</v>
      </c>
      <c r="M179" s="1"/>
      <c r="N179" s="5">
        <f t="shared" si="76"/>
        <v>0.20273019319852895</v>
      </c>
      <c r="O179" s="14"/>
      <c r="P179" s="1">
        <f>SUM(OSRRefP22_14x_0)</f>
        <v>72827.06</v>
      </c>
      <c r="Q179" s="1"/>
      <c r="R179" s="5">
        <f t="shared" si="77"/>
        <v>3.3530377874851039E-2</v>
      </c>
      <c r="S179" s="1"/>
      <c r="T179" s="1">
        <f>SUM(OSRRefT22_14x_0)</f>
        <v>73052.790000000008</v>
      </c>
      <c r="U179" s="1"/>
      <c r="V179" s="5">
        <f t="shared" si="78"/>
        <v>2.8938737013197872E-2</v>
      </c>
      <c r="W179" s="1"/>
      <c r="X179" s="1">
        <f t="shared" si="79"/>
        <v>-225.73000000001048</v>
      </c>
      <c r="Y179" s="1"/>
      <c r="Z179" s="5">
        <f t="shared" si="80"/>
        <v>-3.089957276101439E-3</v>
      </c>
    </row>
    <row r="180" spans="1:26" s="24" customFormat="1" hidden="1" outlineLevel="2" x14ac:dyDescent="0.3">
      <c r="A180" s="27"/>
      <c r="B180" s="11" t="str">
        <f>CONCATENATE("          ", "6371", " - ", "COMPUTER SOFTWARE MAINTENANCE")</f>
        <v xml:space="preserve">          6371 - COMPUTER SOFTWARE MAINTENANCE</v>
      </c>
      <c r="C180" s="11"/>
      <c r="D180" s="7">
        <v>0</v>
      </c>
      <c r="E180" s="2"/>
      <c r="F180" s="8">
        <f t="shared" si="73"/>
        <v>0</v>
      </c>
      <c r="G180" s="2"/>
      <c r="H180" s="7"/>
      <c r="I180" s="2"/>
      <c r="J180" s="8">
        <f t="shared" si="74"/>
        <v>0</v>
      </c>
      <c r="K180" s="2"/>
      <c r="L180" s="7">
        <f t="shared" si="75"/>
        <v>0</v>
      </c>
      <c r="M180" s="2"/>
      <c r="N180" s="8">
        <f t="shared" si="76"/>
        <v>0</v>
      </c>
      <c r="O180" s="11"/>
      <c r="P180" s="7">
        <v>59623.5</v>
      </c>
      <c r="Q180" s="2"/>
      <c r="R180" s="8">
        <f t="shared" si="77"/>
        <v>2.7451313910257822E-2</v>
      </c>
      <c r="S180" s="2"/>
      <c r="T180" s="7">
        <v>58428.78</v>
      </c>
      <c r="U180" s="2"/>
      <c r="V180" s="8">
        <f t="shared" si="78"/>
        <v>2.3145660808053949E-2</v>
      </c>
      <c r="W180" s="2"/>
      <c r="X180" s="7">
        <f t="shared" si="79"/>
        <v>1194.7200000000012</v>
      </c>
      <c r="Y180" s="2"/>
      <c r="Z180" s="8">
        <f t="shared" si="80"/>
        <v>2.044745757142287E-2</v>
      </c>
    </row>
    <row r="181" spans="1:26" s="24" customFormat="1" hidden="1" outlineLevel="2" x14ac:dyDescent="0.3">
      <c r="A181" s="27"/>
      <c r="B181" s="11" t="str">
        <f>CONCATENATE("          ", "6372", " - ", "COMPUTER HARDWARE MAINTENANCE")</f>
        <v xml:space="preserve">          6372 - COMPUTER HARDWARE MAINTENANCE</v>
      </c>
      <c r="C181" s="11"/>
      <c r="D181" s="7"/>
      <c r="E181" s="2"/>
      <c r="F181" s="8">
        <f t="shared" si="73"/>
        <v>0</v>
      </c>
      <c r="G181" s="2"/>
      <c r="H181" s="7">
        <v>0.98</v>
      </c>
      <c r="I181" s="2"/>
      <c r="J181" s="8">
        <f t="shared" si="74"/>
        <v>4.6917783378133331E-7</v>
      </c>
      <c r="K181" s="2"/>
      <c r="L181" s="7">
        <f t="shared" si="75"/>
        <v>-0.98</v>
      </c>
      <c r="M181" s="2"/>
      <c r="N181" s="8">
        <f t="shared" si="76"/>
        <v>-1</v>
      </c>
      <c r="O181" s="11"/>
      <c r="P181" s="7"/>
      <c r="Q181" s="2"/>
      <c r="R181" s="8">
        <f t="shared" si="77"/>
        <v>0</v>
      </c>
      <c r="S181" s="2"/>
      <c r="T181" s="7">
        <v>0.98</v>
      </c>
      <c r="U181" s="2"/>
      <c r="V181" s="8">
        <f t="shared" si="78"/>
        <v>3.8821189817574267E-7</v>
      </c>
      <c r="W181" s="2"/>
      <c r="X181" s="7">
        <f t="shared" si="79"/>
        <v>-0.98</v>
      </c>
      <c r="Y181" s="2"/>
      <c r="Z181" s="8">
        <f t="shared" si="80"/>
        <v>-1</v>
      </c>
    </row>
    <row r="182" spans="1:26" s="24" customFormat="1" hidden="1" outlineLevel="2" x14ac:dyDescent="0.3">
      <c r="A182" s="27"/>
      <c r="B182" s="11" t="str">
        <f>CONCATENATE("          ", "6373", " - ", "MAINTENANCE CONTRACTS")</f>
        <v xml:space="preserve">          6373 - MAINTENANCE CONTRACTS</v>
      </c>
      <c r="C182" s="11"/>
      <c r="D182" s="7">
        <v>6010.42</v>
      </c>
      <c r="E182" s="2"/>
      <c r="F182" s="8">
        <f t="shared" si="73"/>
        <v>3.2380797078919612E-3</v>
      </c>
      <c r="G182" s="2"/>
      <c r="H182" s="7">
        <v>6370.22</v>
      </c>
      <c r="I182" s="2"/>
      <c r="J182" s="8">
        <f t="shared" si="74"/>
        <v>3.0497612452148218E-3</v>
      </c>
      <c r="K182" s="2"/>
      <c r="L182" s="7">
        <f t="shared" si="75"/>
        <v>-359.80000000000018</v>
      </c>
      <c r="M182" s="2"/>
      <c r="N182" s="8">
        <f t="shared" si="76"/>
        <v>-5.6481565785797064E-2</v>
      </c>
      <c r="O182" s="11"/>
      <c r="P182" s="7">
        <v>6665.05</v>
      </c>
      <c r="Q182" s="2"/>
      <c r="R182" s="8">
        <f t="shared" si="77"/>
        <v>3.0686621848359102E-3</v>
      </c>
      <c r="S182" s="2"/>
      <c r="T182" s="7">
        <v>12786.23</v>
      </c>
      <c r="U182" s="2"/>
      <c r="V182" s="8">
        <f t="shared" si="78"/>
        <v>5.0650679783792105E-3</v>
      </c>
      <c r="W182" s="2"/>
      <c r="X182" s="7">
        <f t="shared" si="79"/>
        <v>-6121.1799999999994</v>
      </c>
      <c r="Y182" s="2"/>
      <c r="Z182" s="8">
        <f t="shared" si="80"/>
        <v>-0.47873219862304994</v>
      </c>
    </row>
    <row r="183" spans="1:26" s="24" customFormat="1" hidden="1" outlineLevel="2" x14ac:dyDescent="0.3">
      <c r="A183" s="27"/>
      <c r="B183" s="11" t="str">
        <f>CONCATENATE("          ", "6375", " - ", "OUTSIDE REPAIRS &amp; MAINTENANCE")</f>
        <v xml:space="preserve">          6375 - OUTSIDE REPAIRS &amp; MAINTENANCE</v>
      </c>
      <c r="C183" s="11"/>
      <c r="D183" s="7">
        <v>2053.91</v>
      </c>
      <c r="E183" s="2"/>
      <c r="F183" s="8">
        <f t="shared" si="73"/>
        <v>1.1065323709218953E-3</v>
      </c>
      <c r="G183" s="2"/>
      <c r="H183" s="7">
        <v>333.82</v>
      </c>
      <c r="I183" s="2"/>
      <c r="J183" s="8">
        <f t="shared" si="74"/>
        <v>1.5981729027845376E-4</v>
      </c>
      <c r="K183" s="2"/>
      <c r="L183" s="7">
        <f t="shared" si="75"/>
        <v>1720.09</v>
      </c>
      <c r="M183" s="2"/>
      <c r="N183" s="8">
        <f t="shared" si="76"/>
        <v>5.1527469893954825</v>
      </c>
      <c r="O183" s="11"/>
      <c r="P183" s="7">
        <v>6538.51</v>
      </c>
      <c r="Q183" s="2"/>
      <c r="R183" s="8">
        <f t="shared" si="77"/>
        <v>3.0104017797573084E-3</v>
      </c>
      <c r="S183" s="2"/>
      <c r="T183" s="7">
        <v>1836.8</v>
      </c>
      <c r="U183" s="2"/>
      <c r="V183" s="8">
        <f t="shared" si="78"/>
        <v>7.2762001486653476E-4</v>
      </c>
      <c r="W183" s="2"/>
      <c r="X183" s="7">
        <f t="shared" si="79"/>
        <v>4701.71</v>
      </c>
      <c r="Y183" s="2"/>
      <c r="Z183" s="8">
        <f t="shared" si="80"/>
        <v>2.5597288763066204</v>
      </c>
    </row>
    <row r="184" spans="1:26" s="28" customFormat="1" outlineLevel="1" collapsed="1" x14ac:dyDescent="0.3">
      <c r="A184" s="29"/>
      <c r="B184" s="14" t="str">
        <f>CONCATENATE("     ","Royalty &amp; Commissions                             ")</f>
        <v xml:space="preserve">     Royalty &amp; Commissions                             </v>
      </c>
      <c r="C184" s="14"/>
      <c r="D184" s="1">
        <f>SUM(OSRRefD22_15x_0)</f>
        <v>601.89</v>
      </c>
      <c r="E184" s="1"/>
      <c r="F184" s="5">
        <f t="shared" ref="F184:F187" si="81">IF(D$12=0,0,D184/D$12)</f>
        <v>3.2426482598272541E-4</v>
      </c>
      <c r="G184" s="1"/>
      <c r="H184" s="1">
        <f>SUM(OSRRefH22_15x_0)</f>
        <v>2254.65</v>
      </c>
      <c r="I184" s="1"/>
      <c r="J184" s="5">
        <f t="shared" ref="J184:J187" si="82">IF(H$12=0,0,H184/H$12)</f>
        <v>1.0794202070766156E-3</v>
      </c>
      <c r="K184" s="1"/>
      <c r="L184" s="1">
        <f t="shared" ref="L184:L187" si="83">+D184-H184</f>
        <v>-1652.7600000000002</v>
      </c>
      <c r="M184" s="1"/>
      <c r="N184" s="5">
        <f t="shared" ref="N184:N187" si="84">IF(H184=0,0,L184/H184)</f>
        <v>-0.73304504025014972</v>
      </c>
      <c r="O184" s="14"/>
      <c r="P184" s="1">
        <f>SUM(OSRRefP22_15x_0)</f>
        <v>7956.9900000000007</v>
      </c>
      <c r="Q184" s="1"/>
      <c r="R184" s="5">
        <f t="shared" ref="R184:R187" si="85">IF(P$12=0,0,P184/P$12)</f>
        <v>3.663485542961792E-3</v>
      </c>
      <c r="S184" s="1"/>
      <c r="T184" s="1">
        <f>SUM(OSRRefT22_15x_0)</f>
        <v>13244.4</v>
      </c>
      <c r="U184" s="1"/>
      <c r="V184" s="5">
        <f t="shared" ref="V184:V187" si="86">IF(T$12=0,0,T184/T$12)</f>
        <v>5.2465649634681694E-3</v>
      </c>
      <c r="W184" s="1"/>
      <c r="X184" s="1">
        <f t="shared" ref="X184:X187" si="87">+P184-T184</f>
        <v>-5287.4099999999989</v>
      </c>
      <c r="Y184" s="1"/>
      <c r="Z184" s="5">
        <f t="shared" ref="Z184:Z187" si="88">IF(T184=0,0,X184/T184)</f>
        <v>-0.39921853764609944</v>
      </c>
    </row>
    <row r="185" spans="1:26" s="24" customFormat="1" hidden="1" outlineLevel="2" x14ac:dyDescent="0.3">
      <c r="A185" s="27"/>
      <c r="B185" s="11" t="str">
        <f>CONCATENATE("          ", "6253", " - ", "ROYALTY DUE ATHLETICS-LRG")</f>
        <v xml:space="preserve">          6253 - ROYALTY DUE ATHLETICS-LRG</v>
      </c>
      <c r="C185" s="11"/>
      <c r="D185" s="7"/>
      <c r="E185" s="2"/>
      <c r="F185" s="8">
        <f t="shared" si="81"/>
        <v>0</v>
      </c>
      <c r="G185" s="2"/>
      <c r="H185" s="7">
        <v>2250</v>
      </c>
      <c r="I185" s="2"/>
      <c r="J185" s="8">
        <f t="shared" si="82"/>
        <v>1.0771940061306121E-3</v>
      </c>
      <c r="K185" s="2"/>
      <c r="L185" s="7">
        <f t="shared" si="83"/>
        <v>-2250</v>
      </c>
      <c r="M185" s="2"/>
      <c r="N185" s="8">
        <f t="shared" si="84"/>
        <v>-1</v>
      </c>
      <c r="O185" s="11"/>
      <c r="P185" s="7">
        <v>14376.54</v>
      </c>
      <c r="Q185" s="2"/>
      <c r="R185" s="8">
        <f t="shared" si="85"/>
        <v>6.6191168328490948E-3</v>
      </c>
      <c r="S185" s="2"/>
      <c r="T185" s="7">
        <v>7922.2</v>
      </c>
      <c r="U185" s="2"/>
      <c r="V185" s="8">
        <f t="shared" si="86"/>
        <v>3.1382574487019066E-3</v>
      </c>
      <c r="W185" s="2"/>
      <c r="X185" s="7">
        <f t="shared" si="87"/>
        <v>6454.3400000000011</v>
      </c>
      <c r="Y185" s="2"/>
      <c r="Z185" s="8">
        <f t="shared" si="88"/>
        <v>0.81471560930044695</v>
      </c>
    </row>
    <row r="186" spans="1:26" s="24" customFormat="1" hidden="1" outlineLevel="2" x14ac:dyDescent="0.3">
      <c r="A186" s="27"/>
      <c r="B186" s="11" t="str">
        <f>CONCATENATE("          ", "6254", " - ", "ROYALTY &amp; COMMISSIONS")</f>
        <v xml:space="preserve">          6254 - ROYALTY &amp; COMMISSIONS</v>
      </c>
      <c r="C186" s="11"/>
      <c r="D186" s="7"/>
      <c r="E186" s="2"/>
      <c r="F186" s="8">
        <f t="shared" si="81"/>
        <v>0</v>
      </c>
      <c r="G186" s="2"/>
      <c r="H186" s="7"/>
      <c r="I186" s="2"/>
      <c r="J186" s="8">
        <f t="shared" si="82"/>
        <v>0</v>
      </c>
      <c r="K186" s="2"/>
      <c r="L186" s="7">
        <f t="shared" si="83"/>
        <v>0</v>
      </c>
      <c r="M186" s="2"/>
      <c r="N186" s="8">
        <f t="shared" si="84"/>
        <v>0</v>
      </c>
      <c r="O186" s="11"/>
      <c r="P186" s="7">
        <v>-7027.5</v>
      </c>
      <c r="Q186" s="2"/>
      <c r="R186" s="8">
        <f t="shared" si="85"/>
        <v>-3.2355381435899746E-3</v>
      </c>
      <c r="S186" s="2"/>
      <c r="T186" s="7"/>
      <c r="U186" s="2"/>
      <c r="V186" s="8">
        <f t="shared" si="86"/>
        <v>0</v>
      </c>
      <c r="W186" s="2"/>
      <c r="X186" s="7">
        <f t="shared" si="87"/>
        <v>-7027.5</v>
      </c>
      <c r="Y186" s="2"/>
      <c r="Z186" s="8">
        <f t="shared" si="88"/>
        <v>0</v>
      </c>
    </row>
    <row r="187" spans="1:26" s="24" customFormat="1" hidden="1" outlineLevel="2" x14ac:dyDescent="0.3">
      <c r="A187" s="27"/>
      <c r="B187" s="11" t="str">
        <f>CONCATENATE("          ", "6259", " - ", "ROYALTY &amp; COMMISSIONS")</f>
        <v xml:space="preserve">          6259 - ROYALTY &amp; COMMISSIONS</v>
      </c>
      <c r="C187" s="11"/>
      <c r="D187" s="7">
        <v>601.89</v>
      </c>
      <c r="E187" s="2"/>
      <c r="F187" s="8">
        <f t="shared" si="81"/>
        <v>3.2426482598272541E-4</v>
      </c>
      <c r="G187" s="2"/>
      <c r="H187" s="7">
        <v>4.6500000000000004</v>
      </c>
      <c r="I187" s="2"/>
      <c r="J187" s="8">
        <f t="shared" si="82"/>
        <v>2.2262009460032655E-6</v>
      </c>
      <c r="K187" s="2"/>
      <c r="L187" s="7">
        <f t="shared" si="83"/>
        <v>597.24</v>
      </c>
      <c r="M187" s="2"/>
      <c r="N187" s="8">
        <f t="shared" si="84"/>
        <v>128.43870967741935</v>
      </c>
      <c r="O187" s="11"/>
      <c r="P187" s="7">
        <v>607.95000000000005</v>
      </c>
      <c r="Q187" s="2"/>
      <c r="R187" s="8">
        <f t="shared" si="85"/>
        <v>2.7990685370267166E-4</v>
      </c>
      <c r="S187" s="2"/>
      <c r="T187" s="7">
        <v>5322.2</v>
      </c>
      <c r="U187" s="2"/>
      <c r="V187" s="8">
        <f t="shared" si="86"/>
        <v>2.1083075147662628E-3</v>
      </c>
      <c r="W187" s="2"/>
      <c r="X187" s="7">
        <f t="shared" si="87"/>
        <v>-4714.25</v>
      </c>
      <c r="Y187" s="2"/>
      <c r="Z187" s="8">
        <f t="shared" si="88"/>
        <v>-0.88577092179925598</v>
      </c>
    </row>
    <row r="188" spans="1:26" s="28" customFormat="1" outlineLevel="1" collapsed="1" x14ac:dyDescent="0.3">
      <c r="A188" s="29"/>
      <c r="B188" s="14" t="str">
        <f>CONCATENATE("     ","Services                                          ")</f>
        <v xml:space="preserve">     Services                                          </v>
      </c>
      <c r="C188" s="14"/>
      <c r="D188" s="1">
        <f>SUM(OSRRefD22_16x_0)</f>
        <v>12958.730000000001</v>
      </c>
      <c r="E188" s="1"/>
      <c r="F188" s="5">
        <f t="shared" ref="F188:F192" si="89">IF(D$12=0,0,D188/D$12)</f>
        <v>6.9814423373159946E-3</v>
      </c>
      <c r="G188" s="1"/>
      <c r="H188" s="1">
        <f>SUM(OSRRefH22_16x_0)</f>
        <v>421.78</v>
      </c>
      <c r="I188" s="1"/>
      <c r="J188" s="5">
        <f t="shared" ref="J188:J192" si="90">IF(H$12=0,0,H188/H$12)</f>
        <v>2.019283946247865E-4</v>
      </c>
      <c r="K188" s="1"/>
      <c r="L188" s="1">
        <f t="shared" ref="L188:L192" si="91">+D188-H188</f>
        <v>12536.95</v>
      </c>
      <c r="M188" s="1"/>
      <c r="N188" s="5">
        <f t="shared" ref="N188:N192" si="92">IF(H188=0,0,L188/H188)</f>
        <v>29.723908198586944</v>
      </c>
      <c r="O188" s="14"/>
      <c r="P188" s="1">
        <f>SUM(OSRRefP22_16x_0)</f>
        <v>16965.05</v>
      </c>
      <c r="Q188" s="1"/>
      <c r="R188" s="5">
        <f t="shared" ref="R188:R192" si="93">IF(P$12=0,0,P188/P$12)</f>
        <v>7.8108952519261605E-3</v>
      </c>
      <c r="S188" s="1"/>
      <c r="T188" s="1">
        <f>SUM(OSRRefT22_16x_0)</f>
        <v>4305.5200000000004</v>
      </c>
      <c r="U188" s="1"/>
      <c r="V188" s="5">
        <f t="shared" ref="V188:V192" si="94">IF(T$12=0,0,T188/T$12)</f>
        <v>1.7055653998302282E-3</v>
      </c>
      <c r="W188" s="1"/>
      <c r="X188" s="1">
        <f t="shared" ref="X188:X192" si="95">+P188-T188</f>
        <v>12659.529999999999</v>
      </c>
      <c r="Y188" s="1"/>
      <c r="Z188" s="5">
        <f t="shared" ref="Z188:Z192" si="96">IF(T188=0,0,X188/T188)</f>
        <v>2.9403022166892727</v>
      </c>
    </row>
    <row r="189" spans="1:26" s="24" customFormat="1" hidden="1" outlineLevel="2" x14ac:dyDescent="0.3">
      <c r="A189" s="27"/>
      <c r="B189" s="11" t="str">
        <f>CONCATENATE("          ", "6282", " - ", "JANITORIAL/EXTERMINATOR EXPENS")</f>
        <v xml:space="preserve">          6282 - JANITORIAL/EXTERMINATOR EXPENS</v>
      </c>
      <c r="C189" s="11"/>
      <c r="D189" s="7">
        <v>291</v>
      </c>
      <c r="E189" s="2"/>
      <c r="F189" s="8">
        <f t="shared" si="89"/>
        <v>1.5677460060970126E-4</v>
      </c>
      <c r="G189" s="2"/>
      <c r="H189" s="7">
        <v>339.94</v>
      </c>
      <c r="I189" s="2"/>
      <c r="J189" s="8">
        <f t="shared" si="90"/>
        <v>1.6274725797512903E-4</v>
      </c>
      <c r="K189" s="2"/>
      <c r="L189" s="7">
        <f t="shared" si="91"/>
        <v>-48.94</v>
      </c>
      <c r="M189" s="2"/>
      <c r="N189" s="8">
        <f t="shared" si="92"/>
        <v>-0.14396658233805965</v>
      </c>
      <c r="O189" s="11"/>
      <c r="P189" s="7">
        <v>291</v>
      </c>
      <c r="Q189" s="2"/>
      <c r="R189" s="8">
        <f t="shared" si="93"/>
        <v>1.3397959441973427E-4</v>
      </c>
      <c r="S189" s="2"/>
      <c r="T189" s="7">
        <v>476.44</v>
      </c>
      <c r="U189" s="2"/>
      <c r="V189" s="8">
        <f t="shared" si="94"/>
        <v>1.8873436404780698E-4</v>
      </c>
      <c r="W189" s="2"/>
      <c r="X189" s="7">
        <f t="shared" si="95"/>
        <v>-185.44</v>
      </c>
      <c r="Y189" s="2"/>
      <c r="Z189" s="8">
        <f t="shared" si="96"/>
        <v>-0.38922004869448407</v>
      </c>
    </row>
    <row r="190" spans="1:26" s="24" customFormat="1" hidden="1" outlineLevel="2" x14ac:dyDescent="0.3">
      <c r="A190" s="27"/>
      <c r="B190" s="11" t="str">
        <f>CONCATENATE("          ", "6283", " - ", "PLANT SERVICE")</f>
        <v xml:space="preserve">          6283 - PLANT SERVICE</v>
      </c>
      <c r="C190" s="11"/>
      <c r="D190" s="7"/>
      <c r="E190" s="2"/>
      <c r="F190" s="8">
        <f t="shared" si="89"/>
        <v>0</v>
      </c>
      <c r="G190" s="2"/>
      <c r="H190" s="7"/>
      <c r="I190" s="2"/>
      <c r="J190" s="8">
        <f t="shared" si="90"/>
        <v>0</v>
      </c>
      <c r="K190" s="2"/>
      <c r="L190" s="7">
        <f t="shared" si="91"/>
        <v>0</v>
      </c>
      <c r="M190" s="2"/>
      <c r="N190" s="8">
        <f t="shared" si="92"/>
        <v>0</v>
      </c>
      <c r="O190" s="11"/>
      <c r="P190" s="7"/>
      <c r="Q190" s="2"/>
      <c r="R190" s="8">
        <f t="shared" si="93"/>
        <v>0</v>
      </c>
      <c r="S190" s="2"/>
      <c r="T190" s="7">
        <v>130</v>
      </c>
      <c r="U190" s="2"/>
      <c r="V190" s="8">
        <f t="shared" si="94"/>
        <v>5.1497496696782193E-5</v>
      </c>
      <c r="W190" s="2"/>
      <c r="X190" s="7">
        <f t="shared" si="95"/>
        <v>-130</v>
      </c>
      <c r="Y190" s="2"/>
      <c r="Z190" s="8">
        <f t="shared" si="96"/>
        <v>-1</v>
      </c>
    </row>
    <row r="191" spans="1:26" s="24" customFormat="1" hidden="1" outlineLevel="2" x14ac:dyDescent="0.3">
      <c r="A191" s="27"/>
      <c r="B191" s="11" t="str">
        <f>CONCATENATE("          ", "6284", " - ", "TRASH REMOVAL EXPENSE")</f>
        <v xml:space="preserve">          6284 - TRASH REMOVAL EXPENSE</v>
      </c>
      <c r="C191" s="11"/>
      <c r="D191" s="7">
        <v>149.69999999999999</v>
      </c>
      <c r="E191" s="2"/>
      <c r="F191" s="8">
        <f t="shared" si="89"/>
        <v>8.0650026499217448E-5</v>
      </c>
      <c r="G191" s="2"/>
      <c r="H191" s="7">
        <v>142.57</v>
      </c>
      <c r="I191" s="2"/>
      <c r="J191" s="8">
        <f t="shared" si="90"/>
        <v>6.8255799757351723E-5</v>
      </c>
      <c r="K191" s="2"/>
      <c r="L191" s="7">
        <f t="shared" si="91"/>
        <v>7.1299999999999955</v>
      </c>
      <c r="M191" s="2"/>
      <c r="N191" s="8">
        <f t="shared" si="92"/>
        <v>5.0010521147506461E-2</v>
      </c>
      <c r="O191" s="11"/>
      <c r="P191" s="7">
        <v>292.27</v>
      </c>
      <c r="Q191" s="2"/>
      <c r="R191" s="8">
        <f t="shared" si="93"/>
        <v>1.3456431636101626E-4</v>
      </c>
      <c r="S191" s="2"/>
      <c r="T191" s="7">
        <v>285.14</v>
      </c>
      <c r="U191" s="2"/>
      <c r="V191" s="8">
        <f t="shared" si="94"/>
        <v>1.129538169855421E-4</v>
      </c>
      <c r="W191" s="2"/>
      <c r="X191" s="7">
        <f t="shared" si="95"/>
        <v>7.1299999999999955</v>
      </c>
      <c r="Y191" s="2"/>
      <c r="Z191" s="8">
        <f t="shared" si="96"/>
        <v>2.500526057375323E-2</v>
      </c>
    </row>
    <row r="192" spans="1:26" s="24" customFormat="1" hidden="1" outlineLevel="2" x14ac:dyDescent="0.3">
      <c r="A192" s="27"/>
      <c r="B192" s="11" t="str">
        <f>CONCATENATE("          ", "6285", " - ", "JANITORIAL SERVICES")</f>
        <v xml:space="preserve">          6285 - JANITORIAL SERVICES</v>
      </c>
      <c r="C192" s="11"/>
      <c r="D192" s="7">
        <v>12518.03</v>
      </c>
      <c r="E192" s="2"/>
      <c r="F192" s="8">
        <f t="shared" si="89"/>
        <v>6.7440177102070752E-3</v>
      </c>
      <c r="G192" s="2"/>
      <c r="H192" s="7">
        <v>-60.73</v>
      </c>
      <c r="I192" s="2"/>
      <c r="J192" s="8">
        <f t="shared" si="90"/>
        <v>-2.9074663107694256E-5</v>
      </c>
      <c r="K192" s="2"/>
      <c r="L192" s="7">
        <f t="shared" si="91"/>
        <v>12578.76</v>
      </c>
      <c r="M192" s="2"/>
      <c r="N192" s="8">
        <f t="shared" si="92"/>
        <v>-207.12596739667381</v>
      </c>
      <c r="O192" s="11"/>
      <c r="P192" s="7">
        <v>16381.78</v>
      </c>
      <c r="Q192" s="2"/>
      <c r="R192" s="8">
        <f t="shared" si="93"/>
        <v>7.5423513411454106E-3</v>
      </c>
      <c r="S192" s="2"/>
      <c r="T192" s="7">
        <v>3413.94</v>
      </c>
      <c r="U192" s="2"/>
      <c r="V192" s="8">
        <f t="shared" si="94"/>
        <v>1.3523797221000969E-3</v>
      </c>
      <c r="W192" s="2"/>
      <c r="X192" s="7">
        <f t="shared" si="95"/>
        <v>12967.84</v>
      </c>
      <c r="Y192" s="2"/>
      <c r="Z192" s="8">
        <f t="shared" si="96"/>
        <v>3.7984967515539232</v>
      </c>
    </row>
    <row r="193" spans="1:26" s="28" customFormat="1" outlineLevel="1" collapsed="1" x14ac:dyDescent="0.3">
      <c r="A193" s="29"/>
      <c r="B193" s="14" t="str">
        <f>CONCATENATE("     ","Subscriptions &amp; Dues                              ")</f>
        <v xml:space="preserve">     Subscriptions &amp; Dues                              </v>
      </c>
      <c r="C193" s="14"/>
      <c r="D193" s="1">
        <f>SUM(OSRRefD22_17x_0)</f>
        <v>57</v>
      </c>
      <c r="E193" s="1"/>
      <c r="F193" s="5">
        <f t="shared" ref="F193:F195" si="97">IF(D$12=0,0,D193/D$12)</f>
        <v>3.0708426923549733E-5</v>
      </c>
      <c r="G193" s="1"/>
      <c r="H193" s="1">
        <f>SUM(OSRRefH22_17x_0)</f>
        <v>270</v>
      </c>
      <c r="I193" s="1"/>
      <c r="J193" s="5">
        <f t="shared" ref="J193:J195" si="98">IF(H$12=0,0,H193/H$12)</f>
        <v>1.2926328073567346E-4</v>
      </c>
      <c r="K193" s="1"/>
      <c r="L193" s="1">
        <f t="shared" ref="L193:L195" si="99">+D193-H193</f>
        <v>-213</v>
      </c>
      <c r="M193" s="1"/>
      <c r="N193" s="5">
        <f t="shared" ref="N193:N195" si="100">IF(H193=0,0,L193/H193)</f>
        <v>-0.78888888888888886</v>
      </c>
      <c r="O193" s="14"/>
      <c r="P193" s="1">
        <f>SUM(OSRRefP22_17x_0)</f>
        <v>125.32</v>
      </c>
      <c r="Q193" s="1"/>
      <c r="R193" s="5">
        <f t="shared" ref="R193:R195" si="101">IF(P$12=0,0,P193/P$12)</f>
        <v>5.7698703686189338E-5</v>
      </c>
      <c r="S193" s="1"/>
      <c r="T193" s="1">
        <f>SUM(OSRRefT22_17x_0)</f>
        <v>635</v>
      </c>
      <c r="U193" s="1"/>
      <c r="V193" s="5">
        <f t="shared" ref="V193:V195" si="102">IF(T$12=0,0,T193/T$12)</f>
        <v>2.5154546463428221E-4</v>
      </c>
      <c r="W193" s="1"/>
      <c r="X193" s="1">
        <f t="shared" ref="X193:X195" si="103">+P193-T193</f>
        <v>-509.68</v>
      </c>
      <c r="Y193" s="1"/>
      <c r="Z193" s="5">
        <f t="shared" ref="Z193:Z195" si="104">IF(T193=0,0,X193/T193)</f>
        <v>-0.80264566929133863</v>
      </c>
    </row>
    <row r="194" spans="1:26" s="24" customFormat="1" hidden="1" outlineLevel="2" x14ac:dyDescent="0.3">
      <c r="A194" s="27"/>
      <c r="B194" s="11" t="str">
        <f>CONCATENATE("          ", "6258", " - ", "MEMBERSHIP DUES")</f>
        <v xml:space="preserve">          6258 - MEMBERSHIP DUES</v>
      </c>
      <c r="C194" s="11"/>
      <c r="D194" s="7">
        <v>57</v>
      </c>
      <c r="E194" s="2"/>
      <c r="F194" s="8">
        <f t="shared" si="97"/>
        <v>3.0708426923549733E-5</v>
      </c>
      <c r="G194" s="2"/>
      <c r="H194" s="7">
        <v>270</v>
      </c>
      <c r="I194" s="2"/>
      <c r="J194" s="8">
        <f t="shared" si="98"/>
        <v>1.2926328073567346E-4</v>
      </c>
      <c r="K194" s="2"/>
      <c r="L194" s="7">
        <f t="shared" si="99"/>
        <v>-213</v>
      </c>
      <c r="M194" s="2"/>
      <c r="N194" s="8">
        <f t="shared" si="100"/>
        <v>-0.78888888888888886</v>
      </c>
      <c r="O194" s="11"/>
      <c r="P194" s="7">
        <v>125.32</v>
      </c>
      <c r="Q194" s="2"/>
      <c r="R194" s="8">
        <f t="shared" si="101"/>
        <v>5.7698703686189338E-5</v>
      </c>
      <c r="S194" s="2"/>
      <c r="T194" s="7">
        <v>560</v>
      </c>
      <c r="U194" s="2"/>
      <c r="V194" s="8">
        <f t="shared" si="102"/>
        <v>2.2183537038613865E-4</v>
      </c>
      <c r="W194" s="2"/>
      <c r="X194" s="7">
        <f t="shared" si="103"/>
        <v>-434.68</v>
      </c>
      <c r="Y194" s="2"/>
      <c r="Z194" s="8">
        <f t="shared" si="104"/>
        <v>-0.77621428571428575</v>
      </c>
    </row>
    <row r="195" spans="1:26" s="24" customFormat="1" hidden="1" outlineLevel="2" x14ac:dyDescent="0.3">
      <c r="A195" s="27"/>
      <c r="B195" s="11" t="str">
        <f>CONCATENATE("          ", "6275", " - ", "SUBSCRIPTIONS")</f>
        <v xml:space="preserve">          6275 - SUBSCRIPTIONS</v>
      </c>
      <c r="C195" s="11"/>
      <c r="D195" s="7"/>
      <c r="E195" s="2"/>
      <c r="F195" s="8">
        <f t="shared" si="97"/>
        <v>0</v>
      </c>
      <c r="G195" s="2"/>
      <c r="H195" s="7"/>
      <c r="I195" s="2"/>
      <c r="J195" s="8">
        <f t="shared" si="98"/>
        <v>0</v>
      </c>
      <c r="K195" s="2"/>
      <c r="L195" s="7">
        <f t="shared" si="99"/>
        <v>0</v>
      </c>
      <c r="M195" s="2"/>
      <c r="N195" s="8">
        <f t="shared" si="100"/>
        <v>0</v>
      </c>
      <c r="O195" s="11"/>
      <c r="P195" s="7"/>
      <c r="Q195" s="2"/>
      <c r="R195" s="8">
        <f t="shared" si="101"/>
        <v>0</v>
      </c>
      <c r="S195" s="2"/>
      <c r="T195" s="7">
        <v>75</v>
      </c>
      <c r="U195" s="2"/>
      <c r="V195" s="8">
        <f t="shared" si="102"/>
        <v>2.9710094248143569E-5</v>
      </c>
      <c r="W195" s="2"/>
      <c r="X195" s="7">
        <f t="shared" si="103"/>
        <v>-75</v>
      </c>
      <c r="Y195" s="2"/>
      <c r="Z195" s="8">
        <f t="shared" si="104"/>
        <v>-1</v>
      </c>
    </row>
    <row r="196" spans="1:26" s="28" customFormat="1" outlineLevel="1" collapsed="1" x14ac:dyDescent="0.3">
      <c r="A196" s="29"/>
      <c r="B196" s="14" t="str">
        <f>CONCATENATE("     ","Supplies                                          ")</f>
        <v xml:space="preserve">     Supplies                                          </v>
      </c>
      <c r="C196" s="14"/>
      <c r="D196" s="1">
        <f>SUM(OSRRefD22_18x_0)</f>
        <v>16315.83</v>
      </c>
      <c r="E196" s="1"/>
      <c r="F196" s="5">
        <f t="shared" ref="F196:F202" si="105">IF(D$12=0,0,D196/D$12)</f>
        <v>8.7900609342466737E-3</v>
      </c>
      <c r="G196" s="1"/>
      <c r="H196" s="1">
        <f>SUM(OSRRefH22_18x_0)</f>
        <v>8805.4500000000007</v>
      </c>
      <c r="I196" s="1"/>
      <c r="J196" s="5">
        <f t="shared" ref="J196:J202" si="106">IF(H$12=0,0,H196/H$12)</f>
        <v>4.2156346494590224E-3</v>
      </c>
      <c r="K196" s="1"/>
      <c r="L196" s="1">
        <f t="shared" ref="L196:L202" si="107">+D196-H196</f>
        <v>7510.3799999999992</v>
      </c>
      <c r="M196" s="1"/>
      <c r="N196" s="5">
        <f t="shared" ref="N196:N202" si="108">IF(H196=0,0,L196/H196)</f>
        <v>0.85292404136074806</v>
      </c>
      <c r="O196" s="14"/>
      <c r="P196" s="1">
        <f>SUM(OSRRefP22_18x_0)</f>
        <v>25443.989999999998</v>
      </c>
      <c r="Q196" s="1"/>
      <c r="R196" s="5">
        <f t="shared" ref="R196:R202" si="109">IF(P$12=0,0,P196/P$12)</f>
        <v>1.1714692304535307E-2</v>
      </c>
      <c r="S196" s="1"/>
      <c r="T196" s="1">
        <f>SUM(OSRRefT22_18x_0)</f>
        <v>20993.49</v>
      </c>
      <c r="U196" s="1"/>
      <c r="V196" s="5">
        <f t="shared" ref="V196:V202" si="110">IF(T$12=0,0,T196/T$12)</f>
        <v>8.3162475532994624E-3</v>
      </c>
      <c r="W196" s="1"/>
      <c r="X196" s="1">
        <f t="shared" ref="X196:X202" si="111">+P196-T196</f>
        <v>4450.4999999999964</v>
      </c>
      <c r="Y196" s="1"/>
      <c r="Z196" s="5">
        <f t="shared" ref="Z196:Z202" si="112">IF(T196=0,0,X196/T196)</f>
        <v>0.21199428965836534</v>
      </c>
    </row>
    <row r="197" spans="1:26" s="24" customFormat="1" hidden="1" outlineLevel="2" x14ac:dyDescent="0.3">
      <c r="A197" s="27"/>
      <c r="B197" s="11" t="str">
        <f>CONCATENATE("          ", "6235", " - ", "COVID-19 EXPENSES")</f>
        <v xml:space="preserve">          6235 - COVID-19 EXPENSES</v>
      </c>
      <c r="C197" s="11"/>
      <c r="D197" s="7">
        <v>2695.61</v>
      </c>
      <c r="E197" s="2"/>
      <c r="F197" s="8">
        <f t="shared" si="105"/>
        <v>1.4522446087612262E-3</v>
      </c>
      <c r="G197" s="2"/>
      <c r="H197" s="7">
        <v>621.78</v>
      </c>
      <c r="I197" s="2"/>
      <c r="J197" s="8">
        <f t="shared" si="106"/>
        <v>2.9767897294750756E-4</v>
      </c>
      <c r="K197" s="2"/>
      <c r="L197" s="7">
        <f t="shared" si="107"/>
        <v>2073.83</v>
      </c>
      <c r="M197" s="2"/>
      <c r="N197" s="8">
        <f t="shared" si="108"/>
        <v>3.3353115249766798</v>
      </c>
      <c r="O197" s="11"/>
      <c r="P197" s="7">
        <v>2967.83</v>
      </c>
      <c r="Q197" s="2"/>
      <c r="R197" s="8">
        <f t="shared" si="109"/>
        <v>1.3664215110196561E-3</v>
      </c>
      <c r="S197" s="2"/>
      <c r="T197" s="7">
        <v>7302.01</v>
      </c>
      <c r="U197" s="2"/>
      <c r="V197" s="8">
        <f t="shared" si="110"/>
        <v>2.8925787373451578E-3</v>
      </c>
      <c r="W197" s="2"/>
      <c r="X197" s="7">
        <f t="shared" si="111"/>
        <v>-4334.18</v>
      </c>
      <c r="Y197" s="2"/>
      <c r="Z197" s="8">
        <f t="shared" si="112"/>
        <v>-0.59355985543706458</v>
      </c>
    </row>
    <row r="198" spans="1:26" s="24" customFormat="1" hidden="1" outlineLevel="2" x14ac:dyDescent="0.3">
      <c r="A198" s="27"/>
      <c r="B198" s="11" t="str">
        <f>CONCATENATE("          ", "6237", " - ", "JANITORIAL SUPPLIES")</f>
        <v xml:space="preserve">          6237 - JANITORIAL SUPPLIES</v>
      </c>
      <c r="C198" s="11"/>
      <c r="D198" s="7">
        <v>1169.72</v>
      </c>
      <c r="E198" s="2"/>
      <c r="F198" s="8">
        <f t="shared" si="105"/>
        <v>6.3018002001779996E-4</v>
      </c>
      <c r="G198" s="2"/>
      <c r="H198" s="7"/>
      <c r="I198" s="2"/>
      <c r="J198" s="8">
        <f t="shared" si="106"/>
        <v>0</v>
      </c>
      <c r="K198" s="2"/>
      <c r="L198" s="7">
        <f t="shared" si="107"/>
        <v>1169.72</v>
      </c>
      <c r="M198" s="2"/>
      <c r="N198" s="8">
        <f t="shared" si="108"/>
        <v>0</v>
      </c>
      <c r="O198" s="11"/>
      <c r="P198" s="7">
        <v>1825.69</v>
      </c>
      <c r="Q198" s="2"/>
      <c r="R198" s="8">
        <f t="shared" si="109"/>
        <v>8.4056771730640781E-4</v>
      </c>
      <c r="S198" s="2"/>
      <c r="T198" s="7">
        <v>139.31</v>
      </c>
      <c r="U198" s="2"/>
      <c r="V198" s="8">
        <f t="shared" si="110"/>
        <v>5.5185509729451743E-5</v>
      </c>
      <c r="W198" s="2"/>
      <c r="X198" s="7">
        <f t="shared" si="111"/>
        <v>1686.38</v>
      </c>
      <c r="Y198" s="2"/>
      <c r="Z198" s="8">
        <f t="shared" si="112"/>
        <v>12.105232933744887</v>
      </c>
    </row>
    <row r="199" spans="1:26" s="24" customFormat="1" hidden="1" outlineLevel="2" x14ac:dyDescent="0.3">
      <c r="A199" s="27"/>
      <c r="B199" s="11" t="str">
        <f>CONCATENATE("          ", "6241", " - ", "OFFICE EXPENSE")</f>
        <v xml:space="preserve">          6241 - OFFICE EXPENSE</v>
      </c>
      <c r="C199" s="11"/>
      <c r="D199" s="7">
        <v>5642.81</v>
      </c>
      <c r="E199" s="2"/>
      <c r="F199" s="8">
        <f t="shared" si="105"/>
        <v>3.0400319040083455E-3</v>
      </c>
      <c r="G199" s="2"/>
      <c r="H199" s="7">
        <v>3080.94</v>
      </c>
      <c r="I199" s="2"/>
      <c r="J199" s="8">
        <f t="shared" si="106"/>
        <v>1.4750089338880215E-3</v>
      </c>
      <c r="K199" s="2"/>
      <c r="L199" s="7">
        <f t="shared" si="107"/>
        <v>2561.8700000000003</v>
      </c>
      <c r="M199" s="2"/>
      <c r="N199" s="8">
        <f t="shared" si="108"/>
        <v>0.83152219777081027</v>
      </c>
      <c r="O199" s="11"/>
      <c r="P199" s="7">
        <v>6058.02</v>
      </c>
      <c r="Q199" s="2"/>
      <c r="R199" s="8">
        <f t="shared" si="109"/>
        <v>2.7891789092324352E-3</v>
      </c>
      <c r="S199" s="2"/>
      <c r="T199" s="7">
        <v>3511.35</v>
      </c>
      <c r="U199" s="2"/>
      <c r="V199" s="8">
        <f t="shared" si="110"/>
        <v>1.3909671925095856E-3</v>
      </c>
      <c r="W199" s="2"/>
      <c r="X199" s="7">
        <f t="shared" si="111"/>
        <v>2546.6700000000005</v>
      </c>
      <c r="Y199" s="2"/>
      <c r="Z199" s="8">
        <f t="shared" si="112"/>
        <v>0.7252680592934343</v>
      </c>
    </row>
    <row r="200" spans="1:26" s="24" customFormat="1" hidden="1" outlineLevel="2" x14ac:dyDescent="0.3">
      <c r="A200" s="27"/>
      <c r="B200" s="11" t="str">
        <f>CONCATENATE("          ", "6243", " - ", "PAPER SUPPLIES")</f>
        <v xml:space="preserve">          6243 - PAPER SUPPLIES</v>
      </c>
      <c r="C200" s="11"/>
      <c r="D200" s="7">
        <v>1801.68</v>
      </c>
      <c r="E200" s="2"/>
      <c r="F200" s="8">
        <f t="shared" si="105"/>
        <v>9.7064488806352777E-4</v>
      </c>
      <c r="G200" s="2"/>
      <c r="H200" s="7">
        <v>2044.69</v>
      </c>
      <c r="I200" s="2"/>
      <c r="J200" s="8">
        <f t="shared" si="106"/>
        <v>9.7890124995342288E-4</v>
      </c>
      <c r="K200" s="2"/>
      <c r="L200" s="7">
        <f t="shared" si="107"/>
        <v>-243.01</v>
      </c>
      <c r="M200" s="2"/>
      <c r="N200" s="8">
        <f t="shared" si="108"/>
        <v>-0.11884931212066376</v>
      </c>
      <c r="O200" s="11"/>
      <c r="P200" s="7">
        <v>3450.92</v>
      </c>
      <c r="Q200" s="2"/>
      <c r="R200" s="8">
        <f t="shared" si="109"/>
        <v>1.5888414500857366E-3</v>
      </c>
      <c r="S200" s="2"/>
      <c r="T200" s="7">
        <v>3124.69</v>
      </c>
      <c r="U200" s="2"/>
      <c r="V200" s="8">
        <f t="shared" si="110"/>
        <v>1.2377977919497565E-3</v>
      </c>
      <c r="W200" s="2"/>
      <c r="X200" s="7">
        <f t="shared" si="111"/>
        <v>326.23</v>
      </c>
      <c r="Y200" s="2"/>
      <c r="Z200" s="8">
        <f t="shared" si="112"/>
        <v>0.10440395687252176</v>
      </c>
    </row>
    <row r="201" spans="1:26" s="24" customFormat="1" hidden="1" outlineLevel="2" x14ac:dyDescent="0.3">
      <c r="A201" s="27"/>
      <c r="B201" s="11" t="str">
        <f>CONCATENATE("          ", "6245", " - ", "PRINTING")</f>
        <v xml:space="preserve">          6245 - PRINTING</v>
      </c>
      <c r="C201" s="11"/>
      <c r="D201" s="7">
        <v>-851.82</v>
      </c>
      <c r="E201" s="2"/>
      <c r="F201" s="8">
        <f t="shared" si="105"/>
        <v>-4.5891319687751112E-4</v>
      </c>
      <c r="G201" s="2"/>
      <c r="H201" s="7">
        <v>1248</v>
      </c>
      <c r="I201" s="2"/>
      <c r="J201" s="8">
        <f t="shared" si="106"/>
        <v>5.9748360873377964E-4</v>
      </c>
      <c r="K201" s="2"/>
      <c r="L201" s="7">
        <f t="shared" si="107"/>
        <v>-2099.8200000000002</v>
      </c>
      <c r="M201" s="2"/>
      <c r="N201" s="8">
        <f t="shared" si="108"/>
        <v>-1.682548076923077</v>
      </c>
      <c r="O201" s="11"/>
      <c r="P201" s="7">
        <v>-600.17999999999995</v>
      </c>
      <c r="Q201" s="2"/>
      <c r="R201" s="8">
        <f t="shared" si="109"/>
        <v>-2.7632946040837149E-4</v>
      </c>
      <c r="S201" s="2"/>
      <c r="T201" s="7">
        <v>-295.5</v>
      </c>
      <c r="U201" s="2"/>
      <c r="V201" s="8">
        <f t="shared" si="110"/>
        <v>-1.1705777133768567E-4</v>
      </c>
      <c r="W201" s="2"/>
      <c r="X201" s="7">
        <f t="shared" si="111"/>
        <v>-304.67999999999995</v>
      </c>
      <c r="Y201" s="2"/>
      <c r="Z201" s="8">
        <f t="shared" si="112"/>
        <v>1.0310659898477155</v>
      </c>
    </row>
    <row r="202" spans="1:26" s="24" customFormat="1" hidden="1" outlineLevel="2" x14ac:dyDescent="0.3">
      <c r="A202" s="27"/>
      <c r="B202" s="11" t="str">
        <f>CONCATENATE("          ", "6247", " - ", "STORE SUPPLIES")</f>
        <v xml:space="preserve">          6247 - STORE SUPPLIES</v>
      </c>
      <c r="C202" s="11"/>
      <c r="D202" s="7">
        <v>5857.83</v>
      </c>
      <c r="E202" s="2"/>
      <c r="F202" s="8">
        <f t="shared" si="105"/>
        <v>3.1558727102732865E-3</v>
      </c>
      <c r="G202" s="2"/>
      <c r="H202" s="7">
        <v>1810.04</v>
      </c>
      <c r="I202" s="2"/>
      <c r="J202" s="8">
        <f t="shared" si="106"/>
        <v>8.6656188393629033E-4</v>
      </c>
      <c r="K202" s="2"/>
      <c r="L202" s="7">
        <f t="shared" si="107"/>
        <v>4047.79</v>
      </c>
      <c r="M202" s="2"/>
      <c r="N202" s="8">
        <f t="shared" si="108"/>
        <v>2.2362986453338047</v>
      </c>
      <c r="O202" s="11"/>
      <c r="P202" s="7">
        <v>11741.71</v>
      </c>
      <c r="Q202" s="2"/>
      <c r="R202" s="8">
        <f t="shared" si="109"/>
        <v>5.4060121772994433E-3</v>
      </c>
      <c r="S202" s="2"/>
      <c r="T202" s="7">
        <v>7211.63</v>
      </c>
      <c r="U202" s="2"/>
      <c r="V202" s="8">
        <f t="shared" si="110"/>
        <v>2.856776093103195E-3</v>
      </c>
      <c r="W202" s="2"/>
      <c r="X202" s="7">
        <f t="shared" si="111"/>
        <v>4530.079999999999</v>
      </c>
      <c r="Y202" s="2"/>
      <c r="Z202" s="8">
        <f t="shared" si="112"/>
        <v>0.62816311984946527</v>
      </c>
    </row>
    <row r="203" spans="1:26" s="28" customFormat="1" outlineLevel="1" collapsed="1" x14ac:dyDescent="0.3">
      <c r="A203" s="29"/>
      <c r="B203" s="14" t="str">
        <f>CONCATENATE("     ","Telephone/Data Lines                              ")</f>
        <v xml:space="preserve">     Telephone/Data Lines                              </v>
      </c>
      <c r="C203" s="14"/>
      <c r="D203" s="1">
        <f>SUM(OSRRefD22_19x_0)</f>
        <v>2291.39</v>
      </c>
      <c r="E203" s="1"/>
      <c r="F203" s="5">
        <f t="shared" ref="F203:F205" si="113">IF(D$12=0,0,D203/D$12)</f>
        <v>1.2344733748833794E-3</v>
      </c>
      <c r="G203" s="1"/>
      <c r="H203" s="1">
        <f>SUM(OSRRefH22_19x_0)</f>
        <v>2403.75</v>
      </c>
      <c r="I203" s="1"/>
      <c r="J203" s="5">
        <f t="shared" ref="J203:J205" si="114">IF(H$12=0,0,H203/H$12)</f>
        <v>1.1508022632162041E-3</v>
      </c>
      <c r="K203" s="1"/>
      <c r="L203" s="1">
        <f t="shared" ref="L203:L205" si="115">+D203-H203</f>
        <v>-112.36000000000013</v>
      </c>
      <c r="M203" s="1"/>
      <c r="N203" s="5">
        <f t="shared" ref="N203:N205" si="116">IF(H203=0,0,L203/H203)</f>
        <v>-4.6743629745189863E-2</v>
      </c>
      <c r="O203" s="14"/>
      <c r="P203" s="1">
        <f>SUM(OSRRefP22_19x_0)</f>
        <v>4143.13</v>
      </c>
      <c r="Q203" s="1"/>
      <c r="R203" s="5">
        <f t="shared" ref="R203:R205" si="117">IF(P$12=0,0,P203/P$12)</f>
        <v>1.9075425327430709E-3</v>
      </c>
      <c r="S203" s="1"/>
      <c r="T203" s="1">
        <f>SUM(OSRRefT22_19x_0)</f>
        <v>5081.8</v>
      </c>
      <c r="U203" s="1"/>
      <c r="V203" s="5">
        <f t="shared" ref="V203:V205" si="118">IF(T$12=0,0,T203/T$12)</f>
        <v>2.0130767593362132E-3</v>
      </c>
      <c r="W203" s="1"/>
      <c r="X203" s="1">
        <f t="shared" ref="X203:X205" si="119">+P203-T203</f>
        <v>-938.67000000000007</v>
      </c>
      <c r="Y203" s="1"/>
      <c r="Z203" s="5">
        <f t="shared" ref="Z203:Z205" si="120">IF(T203=0,0,X203/T203)</f>
        <v>-0.18471210988232517</v>
      </c>
    </row>
    <row r="204" spans="1:26" s="24" customFormat="1" hidden="1" outlineLevel="2" x14ac:dyDescent="0.3">
      <c r="A204" s="27"/>
      <c r="B204" s="11" t="str">
        <f>CONCATENATE("          ", "6303", " - ", "DATA PHONE LINES")</f>
        <v xml:space="preserve">          6303 - DATA PHONE LINES</v>
      </c>
      <c r="C204" s="11"/>
      <c r="D204" s="7"/>
      <c r="E204" s="2"/>
      <c r="F204" s="8">
        <f t="shared" si="113"/>
        <v>0</v>
      </c>
      <c r="G204" s="2"/>
      <c r="H204" s="7"/>
      <c r="I204" s="2"/>
      <c r="J204" s="8">
        <f t="shared" si="114"/>
        <v>0</v>
      </c>
      <c r="K204" s="2"/>
      <c r="L204" s="7">
        <f t="shared" si="115"/>
        <v>0</v>
      </c>
      <c r="M204" s="2"/>
      <c r="N204" s="8">
        <f t="shared" si="116"/>
        <v>0</v>
      </c>
      <c r="O204" s="11"/>
      <c r="P204" s="7">
        <v>295</v>
      </c>
      <c r="Q204" s="2"/>
      <c r="R204" s="8">
        <f t="shared" si="117"/>
        <v>1.3582123832928388E-4</v>
      </c>
      <c r="S204" s="2"/>
      <c r="T204" s="7">
        <v>295</v>
      </c>
      <c r="U204" s="2"/>
      <c r="V204" s="8">
        <f t="shared" si="118"/>
        <v>1.1685970404269804E-4</v>
      </c>
      <c r="W204" s="2"/>
      <c r="X204" s="7">
        <f t="shared" si="119"/>
        <v>0</v>
      </c>
      <c r="Y204" s="2"/>
      <c r="Z204" s="8">
        <f t="shared" si="120"/>
        <v>0</v>
      </c>
    </row>
    <row r="205" spans="1:26" s="24" customFormat="1" hidden="1" outlineLevel="2" x14ac:dyDescent="0.3">
      <c r="A205" s="27"/>
      <c r="B205" s="11" t="str">
        <f>CONCATENATE("          ", "6309", " - ", "TELEPHONE")</f>
        <v xml:space="preserve">          6309 - TELEPHONE</v>
      </c>
      <c r="C205" s="11"/>
      <c r="D205" s="7">
        <v>2291.39</v>
      </c>
      <c r="E205" s="2"/>
      <c r="F205" s="8">
        <f t="shared" si="113"/>
        <v>1.2344733748833794E-3</v>
      </c>
      <c r="G205" s="2"/>
      <c r="H205" s="7">
        <v>2403.75</v>
      </c>
      <c r="I205" s="2"/>
      <c r="J205" s="8">
        <f t="shared" si="114"/>
        <v>1.1508022632162041E-3</v>
      </c>
      <c r="K205" s="2"/>
      <c r="L205" s="7">
        <f t="shared" si="115"/>
        <v>-112.36000000000013</v>
      </c>
      <c r="M205" s="2"/>
      <c r="N205" s="8">
        <f t="shared" si="116"/>
        <v>-4.6743629745189863E-2</v>
      </c>
      <c r="O205" s="11"/>
      <c r="P205" s="7">
        <v>3848.13</v>
      </c>
      <c r="Q205" s="2"/>
      <c r="R205" s="8">
        <f t="shared" si="117"/>
        <v>1.7717212944137869E-3</v>
      </c>
      <c r="S205" s="2"/>
      <c r="T205" s="7">
        <v>4786.8</v>
      </c>
      <c r="U205" s="2"/>
      <c r="V205" s="8">
        <f t="shared" si="118"/>
        <v>1.8962170552935154E-3</v>
      </c>
      <c r="W205" s="2"/>
      <c r="X205" s="7">
        <f t="shared" si="119"/>
        <v>-938.67000000000007</v>
      </c>
      <c r="Y205" s="2"/>
      <c r="Z205" s="8">
        <f t="shared" si="120"/>
        <v>-0.19609551265981451</v>
      </c>
    </row>
    <row r="206" spans="1:26" s="28" customFormat="1" outlineLevel="1" collapsed="1" x14ac:dyDescent="0.3">
      <c r="A206" s="29"/>
      <c r="B206" s="14" t="str">
        <f>CONCATENATE("     ","Training                                          ")</f>
        <v xml:space="preserve">     Training                                          </v>
      </c>
      <c r="C206" s="14"/>
      <c r="D206" s="1">
        <f>SUM(OSRRefD22_20x_0)</f>
        <v>0</v>
      </c>
      <c r="E206" s="1"/>
      <c r="F206" s="5">
        <f t="shared" ref="F206:F211" si="121">IF(D$12=0,0,D206/D$12)</f>
        <v>0</v>
      </c>
      <c r="G206" s="1"/>
      <c r="H206" s="1">
        <f>SUM(OSRRefH22_20x_0)</f>
        <v>0</v>
      </c>
      <c r="I206" s="1"/>
      <c r="J206" s="5">
        <f t="shared" ref="J206:J211" si="122">IF(H$12=0,0,H206/H$12)</f>
        <v>0</v>
      </c>
      <c r="K206" s="1"/>
      <c r="L206" s="1">
        <f t="shared" ref="L206:L211" si="123">+D206-H206</f>
        <v>0</v>
      </c>
      <c r="M206" s="1"/>
      <c r="N206" s="5">
        <f t="shared" ref="N206:N211" si="124">IF(H206=0,0,L206/H206)</f>
        <v>0</v>
      </c>
      <c r="O206" s="14"/>
      <c r="P206" s="1">
        <f>SUM(OSRRefP22_20x_0)</f>
        <v>0</v>
      </c>
      <c r="Q206" s="1"/>
      <c r="R206" s="5">
        <f t="shared" ref="R206:R211" si="125">IF(P$12=0,0,P206/P$12)</f>
        <v>0</v>
      </c>
      <c r="S206" s="1"/>
      <c r="T206" s="1">
        <f>SUM(OSRRefT22_20x_0)</f>
        <v>131.63</v>
      </c>
      <c r="U206" s="1"/>
      <c r="V206" s="5">
        <f t="shared" ref="V206:V211" si="126">IF(T$12=0,0,T206/T$12)</f>
        <v>5.2143196078441839E-5</v>
      </c>
      <c r="W206" s="1"/>
      <c r="X206" s="1">
        <f t="shared" ref="X206:X211" si="127">+P206-T206</f>
        <v>-131.63</v>
      </c>
      <c r="Y206" s="1"/>
      <c r="Z206" s="5">
        <f t="shared" ref="Z206:Z211" si="128">IF(T206=0,0,X206/T206)</f>
        <v>-1</v>
      </c>
    </row>
    <row r="207" spans="1:26" s="24" customFormat="1" hidden="1" outlineLevel="2" x14ac:dyDescent="0.3">
      <c r="A207" s="27"/>
      <c r="B207" s="11" t="str">
        <f>CONCATENATE("          ", "6376", " - ", "TRAINING")</f>
        <v xml:space="preserve">          6376 - TRAINING</v>
      </c>
      <c r="C207" s="11"/>
      <c r="D207" s="7"/>
      <c r="E207" s="2"/>
      <c r="F207" s="8">
        <f t="shared" si="121"/>
        <v>0</v>
      </c>
      <c r="G207" s="2"/>
      <c r="H207" s="7"/>
      <c r="I207" s="2"/>
      <c r="J207" s="8">
        <f t="shared" si="122"/>
        <v>0</v>
      </c>
      <c r="K207" s="2"/>
      <c r="L207" s="7">
        <f t="shared" si="123"/>
        <v>0</v>
      </c>
      <c r="M207" s="2"/>
      <c r="N207" s="8">
        <f t="shared" si="124"/>
        <v>0</v>
      </c>
      <c r="O207" s="11"/>
      <c r="P207" s="7"/>
      <c r="Q207" s="2"/>
      <c r="R207" s="8">
        <f t="shared" si="125"/>
        <v>0</v>
      </c>
      <c r="S207" s="2"/>
      <c r="T207" s="7">
        <v>131.63</v>
      </c>
      <c r="U207" s="2"/>
      <c r="V207" s="8">
        <f t="shared" si="126"/>
        <v>5.2143196078441839E-5</v>
      </c>
      <c r="W207" s="2"/>
      <c r="X207" s="7">
        <f t="shared" si="127"/>
        <v>-131.63</v>
      </c>
      <c r="Y207" s="2"/>
      <c r="Z207" s="8">
        <f t="shared" si="128"/>
        <v>-1</v>
      </c>
    </row>
    <row r="208" spans="1:26" s="28" customFormat="1" outlineLevel="1" collapsed="1" x14ac:dyDescent="0.3">
      <c r="A208" s="29"/>
      <c r="B208" s="14" t="str">
        <f>CONCATENATE("     ","Travel                                            ")</f>
        <v xml:space="preserve">     Travel                                            </v>
      </c>
      <c r="C208" s="14"/>
      <c r="D208" s="1">
        <f>SUM(OSRRefD22_21x_0)</f>
        <v>0</v>
      </c>
      <c r="E208" s="1"/>
      <c r="F208" s="5">
        <f t="shared" si="121"/>
        <v>0</v>
      </c>
      <c r="G208" s="1"/>
      <c r="H208" s="1">
        <f>SUM(OSRRefH22_21x_0)</f>
        <v>25.76</v>
      </c>
      <c r="I208" s="1"/>
      <c r="J208" s="5">
        <f t="shared" si="122"/>
        <v>1.2332674487966477E-5</v>
      </c>
      <c r="K208" s="1"/>
      <c r="L208" s="1">
        <f t="shared" si="123"/>
        <v>-25.76</v>
      </c>
      <c r="M208" s="1"/>
      <c r="N208" s="5">
        <f t="shared" si="124"/>
        <v>-1</v>
      </c>
      <c r="O208" s="14"/>
      <c r="P208" s="1">
        <f>SUM(OSRRefP22_21x_0)</f>
        <v>683.14</v>
      </c>
      <c r="Q208" s="1"/>
      <c r="R208" s="5">
        <f t="shared" si="125"/>
        <v>3.1452515509243045E-4</v>
      </c>
      <c r="S208" s="1"/>
      <c r="T208" s="1">
        <f>SUM(OSRRefT22_21x_0)</f>
        <v>300.96999999999997</v>
      </c>
      <c r="U208" s="1"/>
      <c r="V208" s="5">
        <f t="shared" si="126"/>
        <v>1.1922462754485027E-4</v>
      </c>
      <c r="W208" s="1"/>
      <c r="X208" s="1">
        <f t="shared" si="127"/>
        <v>382.17</v>
      </c>
      <c r="Y208" s="1"/>
      <c r="Z208" s="5">
        <f t="shared" si="128"/>
        <v>1.269794331660963</v>
      </c>
    </row>
    <row r="209" spans="1:26" s="24" customFormat="1" hidden="1" outlineLevel="2" x14ac:dyDescent="0.3">
      <c r="A209" s="27"/>
      <c r="B209" s="11" t="str">
        <f>CONCATENATE("          ", "6292", " - ", "TRAVEL/CONFERENCE")</f>
        <v xml:space="preserve">          6292 - TRAVEL/CONFERENCE</v>
      </c>
      <c r="C209" s="11"/>
      <c r="D209" s="7"/>
      <c r="E209" s="2"/>
      <c r="F209" s="8">
        <f t="shared" si="121"/>
        <v>0</v>
      </c>
      <c r="G209" s="2"/>
      <c r="H209" s="7"/>
      <c r="I209" s="2"/>
      <c r="J209" s="8">
        <f t="shared" si="122"/>
        <v>0</v>
      </c>
      <c r="K209" s="2"/>
      <c r="L209" s="7">
        <f t="shared" si="123"/>
        <v>0</v>
      </c>
      <c r="M209" s="2"/>
      <c r="N209" s="8">
        <f t="shared" si="124"/>
        <v>0</v>
      </c>
      <c r="O209" s="11"/>
      <c r="P209" s="7">
        <v>495</v>
      </c>
      <c r="Q209" s="2"/>
      <c r="R209" s="8">
        <f t="shared" si="125"/>
        <v>2.2790343380676447E-4</v>
      </c>
      <c r="S209" s="2"/>
      <c r="T209" s="7">
        <v>0.16</v>
      </c>
      <c r="U209" s="2"/>
      <c r="V209" s="8">
        <f t="shared" si="126"/>
        <v>6.338153439603962E-8</v>
      </c>
      <c r="W209" s="2"/>
      <c r="X209" s="7">
        <f t="shared" si="127"/>
        <v>494.84</v>
      </c>
      <c r="Y209" s="2"/>
      <c r="Z209" s="8">
        <f t="shared" si="128"/>
        <v>3092.75</v>
      </c>
    </row>
    <row r="210" spans="1:26" s="24" customFormat="1" hidden="1" outlineLevel="2" x14ac:dyDescent="0.3">
      <c r="A210" s="27"/>
      <c r="B210" s="11" t="str">
        <f>CONCATENATE("          ", "6294", " - ", "TRAVEL OPERATIONAL")</f>
        <v xml:space="preserve">          6294 - TRAVEL OPERATIONAL</v>
      </c>
      <c r="C210" s="11"/>
      <c r="D210" s="7"/>
      <c r="E210" s="2"/>
      <c r="F210" s="8">
        <f t="shared" si="121"/>
        <v>0</v>
      </c>
      <c r="G210" s="2"/>
      <c r="H210" s="7">
        <v>25.76</v>
      </c>
      <c r="I210" s="2"/>
      <c r="J210" s="8">
        <f t="shared" si="122"/>
        <v>1.2332674487966477E-5</v>
      </c>
      <c r="K210" s="2"/>
      <c r="L210" s="7">
        <f t="shared" si="123"/>
        <v>-25.76</v>
      </c>
      <c r="M210" s="2"/>
      <c r="N210" s="8">
        <f t="shared" si="124"/>
        <v>-1</v>
      </c>
      <c r="O210" s="11"/>
      <c r="P210" s="7">
        <v>188.14</v>
      </c>
      <c r="Q210" s="2"/>
      <c r="R210" s="8">
        <f t="shared" si="125"/>
        <v>8.6621721285665983E-5</v>
      </c>
      <c r="S210" s="2"/>
      <c r="T210" s="7">
        <v>240.92</v>
      </c>
      <c r="U210" s="2"/>
      <c r="V210" s="8">
        <f t="shared" si="126"/>
        <v>9.5436745416836654E-5</v>
      </c>
      <c r="W210" s="2"/>
      <c r="X210" s="7">
        <f t="shared" si="127"/>
        <v>-52.78</v>
      </c>
      <c r="Y210" s="2"/>
      <c r="Z210" s="8">
        <f t="shared" si="128"/>
        <v>-0.21907687199070233</v>
      </c>
    </row>
    <row r="211" spans="1:26" s="24" customFormat="1" hidden="1" outlineLevel="2" x14ac:dyDescent="0.3">
      <c r="A211" s="27"/>
      <c r="B211" s="11" t="str">
        <f>CONCATENATE("          ", "6298", " - ", "VEHICLE MILEAGE")</f>
        <v xml:space="preserve">          6298 - VEHICLE MILEAGE</v>
      </c>
      <c r="C211" s="11"/>
      <c r="D211" s="7"/>
      <c r="E211" s="2"/>
      <c r="F211" s="8">
        <f t="shared" si="121"/>
        <v>0</v>
      </c>
      <c r="G211" s="2"/>
      <c r="H211" s="7"/>
      <c r="I211" s="2"/>
      <c r="J211" s="8">
        <f t="shared" si="122"/>
        <v>0</v>
      </c>
      <c r="K211" s="2"/>
      <c r="L211" s="7">
        <f t="shared" si="123"/>
        <v>0</v>
      </c>
      <c r="M211" s="2"/>
      <c r="N211" s="8">
        <f t="shared" si="124"/>
        <v>0</v>
      </c>
      <c r="O211" s="11"/>
      <c r="P211" s="7"/>
      <c r="Q211" s="2"/>
      <c r="R211" s="8">
        <f t="shared" si="125"/>
        <v>0</v>
      </c>
      <c r="S211" s="2"/>
      <c r="T211" s="7">
        <v>59.89</v>
      </c>
      <c r="U211" s="2"/>
      <c r="V211" s="8">
        <f t="shared" si="126"/>
        <v>2.3724500593617579E-5</v>
      </c>
      <c r="W211" s="2"/>
      <c r="X211" s="7">
        <f t="shared" si="127"/>
        <v>-59.89</v>
      </c>
      <c r="Y211" s="2"/>
      <c r="Z211" s="8">
        <f t="shared" si="128"/>
        <v>-1</v>
      </c>
    </row>
    <row r="212" spans="1:26" s="28" customFormat="1" outlineLevel="1" collapsed="1" x14ac:dyDescent="0.3">
      <c r="A212" s="29"/>
      <c r="B212" s="14" t="str">
        <f>CONCATENATE("     ","Utilities                                         ")</f>
        <v xml:space="preserve">     Utilities                                         </v>
      </c>
      <c r="C212" s="14"/>
      <c r="D212" s="1">
        <f>SUM(OSRRefD22_22x_0)</f>
        <v>6037.29</v>
      </c>
      <c r="E212" s="1"/>
      <c r="F212" s="5">
        <f t="shared" ref="F212:F213" si="129">IF(D$12=0,0,D212/D$12)</f>
        <v>3.252555768092589E-3</v>
      </c>
      <c r="G212" s="1"/>
      <c r="H212" s="1">
        <f>SUM(OSRRefH22_22x_0)</f>
        <v>6159.91</v>
      </c>
      <c r="I212" s="1"/>
      <c r="J212" s="5">
        <f t="shared" ref="J212:J213" si="130">IF(H$12=0,0,H212/H$12)</f>
        <v>2.9490747245795642E-3</v>
      </c>
      <c r="K212" s="1"/>
      <c r="L212" s="1">
        <f t="shared" ref="L212:L213" si="131">+D212-H212</f>
        <v>-122.61999999999989</v>
      </c>
      <c r="M212" s="1"/>
      <c r="N212" s="5">
        <f t="shared" ref="N212:N213" si="132">IF(H212=0,0,L212/H212)</f>
        <v>-1.9906134992232011E-2</v>
      </c>
      <c r="O212" s="14"/>
      <c r="P212" s="1">
        <f>SUM(OSRRefP22_22x_0)</f>
        <v>12073.78</v>
      </c>
      <c r="Q212" s="1"/>
      <c r="R212" s="5">
        <f t="shared" ref="R212:R213" si="133">IF(P$12=0,0,P212/P$12)</f>
        <v>5.5589008505604783E-3</v>
      </c>
      <c r="S212" s="1"/>
      <c r="T212" s="1">
        <f>SUM(OSRRefT22_22x_0)</f>
        <v>12321.37</v>
      </c>
      <c r="U212" s="1"/>
      <c r="V212" s="5">
        <f t="shared" ref="V212:V213" si="134">IF(T$12=0,0,T212/T$12)</f>
        <v>4.8809208528833173E-3</v>
      </c>
      <c r="W212" s="1"/>
      <c r="X212" s="1">
        <f t="shared" ref="X212:X213" si="135">+P212-T212</f>
        <v>-247.59000000000015</v>
      </c>
      <c r="Y212" s="1"/>
      <c r="Z212" s="5">
        <f t="shared" ref="Z212:Z213" si="136">IF(T212=0,0,X212/T212)</f>
        <v>-2.0094356390563721E-2</v>
      </c>
    </row>
    <row r="213" spans="1:26" s="24" customFormat="1" hidden="1" outlineLevel="2" x14ac:dyDescent="0.3">
      <c r="A213" s="27"/>
      <c r="B213" s="11" t="str">
        <f>CONCATENATE("          ", "6274", " - ", "UTILITIES")</f>
        <v xml:space="preserve">          6274 - UTILITIES</v>
      </c>
      <c r="C213" s="11"/>
      <c r="D213" s="7">
        <v>6037.29</v>
      </c>
      <c r="E213" s="2"/>
      <c r="F213" s="8">
        <f t="shared" si="129"/>
        <v>3.252555768092589E-3</v>
      </c>
      <c r="G213" s="2"/>
      <c r="H213" s="7">
        <v>6159.91</v>
      </c>
      <c r="I213" s="2"/>
      <c r="J213" s="8">
        <f t="shared" si="130"/>
        <v>2.9490747245795642E-3</v>
      </c>
      <c r="K213" s="2"/>
      <c r="L213" s="7">
        <f t="shared" si="131"/>
        <v>-122.61999999999989</v>
      </c>
      <c r="M213" s="2"/>
      <c r="N213" s="8">
        <f t="shared" si="132"/>
        <v>-1.9906134992232011E-2</v>
      </c>
      <c r="O213" s="11"/>
      <c r="P213" s="7">
        <v>12073.78</v>
      </c>
      <c r="Q213" s="2"/>
      <c r="R213" s="8">
        <f t="shared" si="133"/>
        <v>5.5589008505604783E-3</v>
      </c>
      <c r="S213" s="2"/>
      <c r="T213" s="7">
        <v>12321.37</v>
      </c>
      <c r="U213" s="2"/>
      <c r="V213" s="8">
        <f t="shared" si="134"/>
        <v>4.8809208528833173E-3</v>
      </c>
      <c r="W213" s="2"/>
      <c r="X213" s="7">
        <f t="shared" si="135"/>
        <v>-247.59000000000015</v>
      </c>
      <c r="Y213" s="2"/>
      <c r="Z213" s="8">
        <f t="shared" si="136"/>
        <v>-2.0094356390563721E-2</v>
      </c>
    </row>
    <row r="214" spans="1:26" s="61" customFormat="1" x14ac:dyDescent="0.3">
      <c r="A214" s="37"/>
      <c r="B214" s="37"/>
      <c r="C214" s="37"/>
      <c r="D214" s="1"/>
      <c r="E214" s="1"/>
      <c r="F214" s="5"/>
      <c r="G214" s="1"/>
      <c r="H214" s="1"/>
      <c r="I214" s="1"/>
      <c r="J214" s="5"/>
      <c r="K214" s="1"/>
      <c r="L214" s="1"/>
      <c r="M214" s="1"/>
      <c r="N214" s="5"/>
      <c r="O214" s="37"/>
      <c r="P214" s="1"/>
      <c r="Q214" s="1"/>
      <c r="R214" s="5"/>
      <c r="S214" s="1"/>
      <c r="T214" s="1"/>
      <c r="U214" s="1"/>
      <c r="V214" s="5"/>
      <c r="W214" s="1"/>
      <c r="X214" s="1"/>
      <c r="Y214" s="1"/>
      <c r="Z214" s="5"/>
    </row>
    <row r="215" spans="1:26" s="23" customFormat="1" collapsed="1" x14ac:dyDescent="0.3">
      <c r="A215" s="10"/>
      <c r="B215" s="26" t="s">
        <v>292</v>
      </c>
      <c r="C215" s="10"/>
      <c r="D215" s="4">
        <f>SUM(OSRRefD25x_0)</f>
        <v>146544.03999999998</v>
      </c>
      <c r="E215" s="4"/>
      <c r="F215" s="12">
        <f t="shared" ref="F215:F221" si="137">IF(D$12=0,0,D215/D$12)</f>
        <v>7.8949770937223662E-2</v>
      </c>
      <c r="G215" s="4"/>
      <c r="H215" s="4">
        <f>SUM(OSRRefH25x_0)</f>
        <v>56729.3</v>
      </c>
      <c r="I215" s="4"/>
      <c r="J215" s="12">
        <f t="shared" ref="J215:J221" si="138">IF(H$12=0,0,H215/H$12)</f>
        <v>2.715931641421571E-2</v>
      </c>
      <c r="K215" s="4"/>
      <c r="L215" s="4">
        <f t="shared" ref="L215:L221" si="139">+D215-H215</f>
        <v>89814.739999999976</v>
      </c>
      <c r="M215" s="4"/>
      <c r="N215" s="12">
        <f t="shared" ref="N215:N221" si="140">IF(H215=0,0,L215/H215)</f>
        <v>1.5832160805791711</v>
      </c>
      <c r="O215" s="10"/>
      <c r="P215" s="4">
        <f>SUM(OSRRefP25x_0)</f>
        <v>186378.27</v>
      </c>
      <c r="Q215" s="4"/>
      <c r="R215" s="12">
        <f t="shared" ref="R215:R221" si="141">IF(P$12=0,0,P215/P$12)</f>
        <v>8.5810601454473279E-2</v>
      </c>
      <c r="S215" s="4"/>
      <c r="T215" s="4">
        <f>SUM(OSRRefT25x_0)</f>
        <v>254226.49</v>
      </c>
      <c r="U215" s="4"/>
      <c r="V215" s="12">
        <f t="shared" ref="V215:V221" si="142">IF(T$12=0,0,T215/T$12)</f>
        <v>0.10070790637699638</v>
      </c>
      <c r="W215" s="4"/>
      <c r="X215" s="4">
        <f t="shared" ref="X215:X221" si="143">+P215-T215</f>
        <v>-67848.22</v>
      </c>
      <c r="Y215" s="4"/>
      <c r="Z215" s="12">
        <f t="shared" ref="Z215:Z221" si="144">IF(T215=0,0,X215/T215)</f>
        <v>-0.26688100048110647</v>
      </c>
    </row>
    <row r="216" spans="1:26" s="24" customFormat="1" hidden="1" outlineLevel="1" x14ac:dyDescent="0.3">
      <c r="A216" s="44"/>
      <c r="B216" s="11" t="str">
        <f>CONCATENATE("          ", "4187", " - ", "NON-TAXABLE SALES-COMPUTER REP")</f>
        <v xml:space="preserve">          4187 - NON-TAXABLE SALES-COMPUTER REP</v>
      </c>
      <c r="C216" s="11"/>
      <c r="D216" s="2">
        <f>0</f>
        <v>0</v>
      </c>
      <c r="E216" s="2"/>
      <c r="F216" s="19">
        <f t="shared" si="137"/>
        <v>0</v>
      </c>
      <c r="G216" s="2"/>
      <c r="H216" s="2">
        <f t="shared" ref="H216:H217" si="145">0</f>
        <v>0</v>
      </c>
      <c r="I216" s="2"/>
      <c r="J216" s="19">
        <f t="shared" si="138"/>
        <v>0</v>
      </c>
      <c r="K216" s="2"/>
      <c r="L216" s="2">
        <f t="shared" si="139"/>
        <v>0</v>
      </c>
      <c r="M216" s="2"/>
      <c r="N216" s="19">
        <f t="shared" si="140"/>
        <v>0</v>
      </c>
      <c r="O216" s="11"/>
      <c r="P216" s="2">
        <f>0</f>
        <v>0</v>
      </c>
      <c r="Q216" s="2"/>
      <c r="R216" s="19">
        <f t="shared" si="141"/>
        <v>0</v>
      </c>
      <c r="S216" s="2"/>
      <c r="T216" s="2">
        <f>--19.99</f>
        <v>19.989999999999998</v>
      </c>
      <c r="U216" s="2"/>
      <c r="V216" s="19">
        <f t="shared" si="142"/>
        <v>7.9187304536051995E-6</v>
      </c>
      <c r="W216" s="2"/>
      <c r="X216" s="2">
        <f t="shared" si="143"/>
        <v>-19.989999999999998</v>
      </c>
      <c r="Y216" s="2"/>
      <c r="Z216" s="19">
        <f t="shared" si="144"/>
        <v>-1</v>
      </c>
    </row>
    <row r="217" spans="1:26" s="24" customFormat="1" hidden="1" outlineLevel="1" x14ac:dyDescent="0.3">
      <c r="A217" s="44"/>
      <c r="B217" s="11" t="str">
        <f>CONCATENATE("          ", "9087", " - ", "")</f>
        <v xml:space="preserve">          9087 - </v>
      </c>
      <c r="C217" s="11"/>
      <c r="D217" s="2">
        <f>--946.54</f>
        <v>946.54</v>
      </c>
      <c r="E217" s="2"/>
      <c r="F217" s="19">
        <f t="shared" si="137"/>
        <v>5.0994306000380282E-4</v>
      </c>
      <c r="G217" s="2"/>
      <c r="H217" s="2">
        <f t="shared" si="145"/>
        <v>0</v>
      </c>
      <c r="I217" s="2"/>
      <c r="J217" s="19">
        <f t="shared" si="138"/>
        <v>0</v>
      </c>
      <c r="K217" s="2"/>
      <c r="L217" s="2">
        <f t="shared" si="139"/>
        <v>946.54</v>
      </c>
      <c r="M217" s="2"/>
      <c r="N217" s="19">
        <f t="shared" si="140"/>
        <v>0</v>
      </c>
      <c r="O217" s="11"/>
      <c r="P217" s="2">
        <f>--1020.01</f>
        <v>1020.01</v>
      </c>
      <c r="Q217" s="2"/>
      <c r="R217" s="19">
        <f t="shared" si="141"/>
        <v>4.696238010449249E-4</v>
      </c>
      <c r="S217" s="2"/>
      <c r="T217" s="2">
        <f>0</f>
        <v>0</v>
      </c>
      <c r="U217" s="2"/>
      <c r="V217" s="19">
        <f t="shared" si="142"/>
        <v>0</v>
      </c>
      <c r="W217" s="2"/>
      <c r="X217" s="2">
        <f t="shared" si="143"/>
        <v>1020.01</v>
      </c>
      <c r="Y217" s="2"/>
      <c r="Z217" s="19">
        <f t="shared" si="144"/>
        <v>0</v>
      </c>
    </row>
    <row r="218" spans="1:26" s="24" customFormat="1" hidden="1" outlineLevel="1" x14ac:dyDescent="0.3">
      <c r="A218" s="44"/>
      <c r="B218" s="11" t="str">
        <f>CONCATENATE("          ", "9150", " - ", "MISC. INCOME")</f>
        <v xml:space="preserve">          9150 - MISC. INCOME</v>
      </c>
      <c r="C218" s="11"/>
      <c r="D218" s="2">
        <f>--76114.03</f>
        <v>76114.03</v>
      </c>
      <c r="E218" s="2"/>
      <c r="F218" s="19">
        <f t="shared" si="137"/>
        <v>4.1006002247576702E-2</v>
      </c>
      <c r="G218" s="2"/>
      <c r="H218" s="2">
        <f>--56657.3</f>
        <v>56657.3</v>
      </c>
      <c r="I218" s="2"/>
      <c r="J218" s="19">
        <f t="shared" si="138"/>
        <v>2.7124846206019529E-2</v>
      </c>
      <c r="K218" s="2"/>
      <c r="L218" s="2">
        <f t="shared" si="139"/>
        <v>19456.729999999996</v>
      </c>
      <c r="M218" s="2"/>
      <c r="N218" s="19">
        <f t="shared" si="140"/>
        <v>0.34341082261244349</v>
      </c>
      <c r="O218" s="11"/>
      <c r="P218" s="2">
        <f>--109478.93</f>
        <v>109478.93</v>
      </c>
      <c r="Q218" s="2"/>
      <c r="R218" s="19">
        <f t="shared" si="141"/>
        <v>5.0405301164627068E-2</v>
      </c>
      <c r="S218" s="2"/>
      <c r="T218" s="2">
        <f>--91996.21</f>
        <v>91996.21</v>
      </c>
      <c r="U218" s="2"/>
      <c r="V218" s="19">
        <f t="shared" si="142"/>
        <v>3.6442880927626778E-2</v>
      </c>
      <c r="W218" s="2"/>
      <c r="X218" s="2">
        <f t="shared" si="143"/>
        <v>17482.719999999987</v>
      </c>
      <c r="Y218" s="2"/>
      <c r="Z218" s="19">
        <f t="shared" si="144"/>
        <v>0.1900373939317716</v>
      </c>
    </row>
    <row r="219" spans="1:26" s="24" customFormat="1" hidden="1" outlineLevel="1" x14ac:dyDescent="0.3">
      <c r="A219" s="44"/>
      <c r="B219" s="11" t="str">
        <f>CONCATENATE("          ", "9151", " - ", "MISC. INCOME")</f>
        <v xml:space="preserve">          9151 - MISC. INCOME</v>
      </c>
      <c r="C219" s="11"/>
      <c r="D219" s="2">
        <f>--11556.36</f>
        <v>11556.36</v>
      </c>
      <c r="E219" s="2"/>
      <c r="F219" s="19">
        <f t="shared" si="137"/>
        <v>6.225923448460232E-3</v>
      </c>
      <c r="G219" s="2"/>
      <c r="H219" s="2">
        <f>0</f>
        <v>0</v>
      </c>
      <c r="I219" s="2"/>
      <c r="J219" s="19">
        <f t="shared" si="138"/>
        <v>0</v>
      </c>
      <c r="K219" s="2"/>
      <c r="L219" s="2">
        <f t="shared" si="139"/>
        <v>11556.36</v>
      </c>
      <c r="M219" s="2"/>
      <c r="N219" s="19">
        <f t="shared" si="140"/>
        <v>0</v>
      </c>
      <c r="O219" s="11"/>
      <c r="P219" s="2">
        <f>--11556.36</f>
        <v>11556.36</v>
      </c>
      <c r="Q219" s="2"/>
      <c r="R219" s="19">
        <f t="shared" si="141"/>
        <v>5.3206750026406884E-3</v>
      </c>
      <c r="S219" s="2"/>
      <c r="T219" s="2">
        <f>0</f>
        <v>0</v>
      </c>
      <c r="U219" s="2"/>
      <c r="V219" s="19">
        <f t="shared" si="142"/>
        <v>0</v>
      </c>
      <c r="W219" s="2"/>
      <c r="X219" s="2">
        <f t="shared" si="143"/>
        <v>11556.36</v>
      </c>
      <c r="Y219" s="2"/>
      <c r="Z219" s="19">
        <f t="shared" si="144"/>
        <v>0</v>
      </c>
    </row>
    <row r="220" spans="1:26" s="24" customFormat="1" hidden="1" outlineLevel="1" x14ac:dyDescent="0.3">
      <c r="A220" s="44"/>
      <c r="B220" s="11" t="str">
        <f>CONCATENATE("          ", "9152", " - ", "MISC. INCOME")</f>
        <v xml:space="preserve">          9152 - MISC. INCOME</v>
      </c>
      <c r="C220" s="11"/>
      <c r="D220" s="2">
        <f>--936.11</f>
        <v>936.11</v>
      </c>
      <c r="E220" s="2"/>
      <c r="F220" s="19">
        <f t="shared" si="137"/>
        <v>5.0432395662112529E-4</v>
      </c>
      <c r="G220" s="2"/>
      <c r="H220" s="2">
        <f>--72</f>
        <v>72</v>
      </c>
      <c r="I220" s="2"/>
      <c r="J220" s="19">
        <f t="shared" si="138"/>
        <v>3.4470208196179589E-5</v>
      </c>
      <c r="K220" s="2"/>
      <c r="L220" s="2">
        <f t="shared" si="139"/>
        <v>864.11</v>
      </c>
      <c r="M220" s="2"/>
      <c r="N220" s="19">
        <f t="shared" si="140"/>
        <v>12.001527777777778</v>
      </c>
      <c r="O220" s="11"/>
      <c r="P220" s="2">
        <f>--1003.03</f>
        <v>1003.03</v>
      </c>
      <c r="Q220" s="2"/>
      <c r="R220" s="19">
        <f t="shared" si="141"/>
        <v>4.6180602264888677E-4</v>
      </c>
      <c r="S220" s="2"/>
      <c r="T220" s="2">
        <f>--1546.39</f>
        <v>1546.39</v>
      </c>
      <c r="U220" s="2"/>
      <c r="V220" s="19">
        <f t="shared" si="142"/>
        <v>6.1257856859182316E-4</v>
      </c>
      <c r="W220" s="2"/>
      <c r="X220" s="2">
        <f t="shared" si="143"/>
        <v>-543.36000000000013</v>
      </c>
      <c r="Y220" s="2"/>
      <c r="Z220" s="19">
        <f t="shared" si="144"/>
        <v>-0.35137319822295804</v>
      </c>
    </row>
    <row r="221" spans="1:26" s="24" customFormat="1" hidden="1" outlineLevel="1" x14ac:dyDescent="0.3">
      <c r="A221" s="44"/>
      <c r="B221" s="11" t="str">
        <f>CONCATENATE("          ", "9163", " - ", "MISC. INCOME")</f>
        <v xml:space="preserve">          9163 - MISC. INCOME</v>
      </c>
      <c r="C221" s="11"/>
      <c r="D221" s="2">
        <f>--56991</f>
        <v>56991</v>
      </c>
      <c r="E221" s="2"/>
      <c r="F221" s="19">
        <f t="shared" si="137"/>
        <v>3.0703578224561805E-2</v>
      </c>
      <c r="G221" s="2"/>
      <c r="H221" s="2">
        <f>0</f>
        <v>0</v>
      </c>
      <c r="I221" s="2"/>
      <c r="J221" s="19">
        <f t="shared" si="138"/>
        <v>0</v>
      </c>
      <c r="K221" s="2"/>
      <c r="L221" s="2">
        <f t="shared" si="139"/>
        <v>56991</v>
      </c>
      <c r="M221" s="2"/>
      <c r="N221" s="19">
        <f t="shared" si="140"/>
        <v>0</v>
      </c>
      <c r="O221" s="11"/>
      <c r="P221" s="2">
        <f>--63319.94</f>
        <v>63319.94</v>
      </c>
      <c r="Q221" s="2"/>
      <c r="R221" s="19">
        <f t="shared" si="141"/>
        <v>2.9153195463511715E-2</v>
      </c>
      <c r="S221" s="2"/>
      <c r="T221" s="2">
        <f>--160663.9</f>
        <v>160663.9</v>
      </c>
      <c r="U221" s="2"/>
      <c r="V221" s="19">
        <f t="shared" si="142"/>
        <v>6.3644528150324176E-2</v>
      </c>
      <c r="W221" s="2"/>
      <c r="X221" s="2">
        <f t="shared" si="143"/>
        <v>-97343.959999999992</v>
      </c>
      <c r="Y221" s="2"/>
      <c r="Z221" s="19">
        <f t="shared" si="144"/>
        <v>-0.60588570301106837</v>
      </c>
    </row>
    <row r="222" spans="1:26" x14ac:dyDescent="0.3">
      <c r="A222" s="9"/>
      <c r="B222" s="10"/>
      <c r="C222" s="10"/>
      <c r="D222" s="3"/>
      <c r="E222" s="3"/>
      <c r="F222" s="6"/>
      <c r="G222" s="3"/>
      <c r="H222" s="3"/>
      <c r="I222" s="3"/>
      <c r="J222" s="6"/>
      <c r="K222" s="3"/>
      <c r="L222" s="3"/>
      <c r="M222" s="3"/>
      <c r="N222" s="6"/>
      <c r="O222" s="10"/>
      <c r="P222" s="3"/>
      <c r="Q222" s="3"/>
      <c r="R222" s="6"/>
      <c r="S222" s="3"/>
      <c r="T222" s="3"/>
      <c r="U222" s="3"/>
      <c r="V222" s="6"/>
      <c r="W222" s="3"/>
      <c r="X222" s="3"/>
      <c r="Y222" s="3"/>
      <c r="Z222" s="6"/>
    </row>
    <row r="223" spans="1:26" s="23" customFormat="1" x14ac:dyDescent="0.3">
      <c r="A223" s="10"/>
      <c r="B223" s="25" t="s">
        <v>276</v>
      </c>
      <c r="C223" s="25"/>
      <c r="D223" s="20">
        <f>+D129-D131+D215</f>
        <v>364578.14000000013</v>
      </c>
      <c r="E223" s="13"/>
      <c r="F223" s="22">
        <f>IF(D$12=0,0,D223/D$12)</f>
        <v>0.19641440649322259</v>
      </c>
      <c r="G223" s="13"/>
      <c r="H223" s="20">
        <f>+H129-H131+H215</f>
        <v>346578.76000000065</v>
      </c>
      <c r="I223" s="13"/>
      <c r="J223" s="22">
        <f>IF(H$12=0,0,H223/H$12)</f>
        <v>0.16592558352185807</v>
      </c>
      <c r="K223" s="15"/>
      <c r="L223" s="20">
        <f>+D223-H223</f>
        <v>17999.379999999481</v>
      </c>
      <c r="M223" s="15"/>
      <c r="N223" s="22">
        <f>IF(H223=0,0,L223/H223)</f>
        <v>5.1934457841558E-2</v>
      </c>
      <c r="O223" s="26"/>
      <c r="P223" s="20">
        <f>+P129-P131+P215</f>
        <v>130108.97999999949</v>
      </c>
      <c r="Q223" s="13"/>
      <c r="R223" s="22">
        <f>IF(P$12=0,0,P223/P$12)</f>
        <v>5.9903602648677827E-2</v>
      </c>
      <c r="S223" s="13"/>
      <c r="T223" s="20">
        <f>+T129-T131+T215</f>
        <v>323978.54000000039</v>
      </c>
      <c r="U223" s="13"/>
      <c r="V223" s="22">
        <f>IF(T$12=0,0,T223/T$12)</f>
        <v>0.12833910610367952</v>
      </c>
      <c r="W223" s="15"/>
      <c r="X223" s="20">
        <f>+P223-T223</f>
        <v>-193869.5600000009</v>
      </c>
      <c r="Y223" s="15"/>
      <c r="Z223" s="22">
        <f>IF(T223=0,0,X223/T223)</f>
        <v>-0.59840247443550021</v>
      </c>
    </row>
    <row r="224" spans="1:26" x14ac:dyDescent="0.3">
      <c r="A224" s="9"/>
      <c r="B224" s="10"/>
      <c r="C224" s="9"/>
      <c r="D224" s="3"/>
      <c r="E224" s="3"/>
      <c r="F224" s="6"/>
      <c r="G224" s="3"/>
      <c r="H224" s="3"/>
      <c r="I224" s="3"/>
      <c r="J224" s="6"/>
      <c r="K224" s="3"/>
      <c r="L224" s="3"/>
      <c r="M224" s="3"/>
      <c r="N224" s="6"/>
      <c r="P224" s="3"/>
      <c r="Q224" s="3"/>
      <c r="R224" s="6"/>
      <c r="S224" s="3"/>
      <c r="T224" s="3"/>
      <c r="U224" s="3"/>
      <c r="V224" s="6"/>
      <c r="W224" s="3"/>
      <c r="X224" s="3"/>
      <c r="Y224" s="3"/>
      <c r="Z224" s="6"/>
    </row>
    <row r="225" spans="1:26" s="23" customFormat="1" x14ac:dyDescent="0.3">
      <c r="A225" s="51"/>
      <c r="B225" s="10" t="s">
        <v>127</v>
      </c>
      <c r="C225" s="10"/>
      <c r="D225" s="4">
        <v>178664.08</v>
      </c>
      <c r="E225" s="4"/>
      <c r="F225" s="12">
        <f>IF(D$12=0,0,D225/D$12)</f>
        <v>9.6254260430583216E-2</v>
      </c>
      <c r="G225" s="4"/>
      <c r="H225" s="4">
        <v>211357.75</v>
      </c>
      <c r="I225" s="4"/>
      <c r="J225" s="12">
        <f>IF(H$12=0,0,H225/H$12)</f>
        <v>0.10118813397744551</v>
      </c>
      <c r="K225" s="4"/>
      <c r="L225" s="4">
        <f>+D225-H225</f>
        <v>-32693.670000000013</v>
      </c>
      <c r="M225" s="4"/>
      <c r="N225" s="12">
        <f>IF(H225=0,0,L225/H225)</f>
        <v>-0.15468403689952231</v>
      </c>
      <c r="O225" s="10"/>
      <c r="P225" s="4">
        <v>324564.46999999997</v>
      </c>
      <c r="Q225" s="4"/>
      <c r="R225" s="12">
        <f>IF(P$12=0,0,P225/P$12)</f>
        <v>0.14943304485792441</v>
      </c>
      <c r="S225" s="4"/>
      <c r="T225" s="4">
        <v>426210.48</v>
      </c>
      <c r="U225" s="4"/>
      <c r="V225" s="12">
        <f>IF(T$12=0,0,T225/T$12)</f>
        <v>0.16883671373795348</v>
      </c>
      <c r="W225" s="4"/>
      <c r="X225" s="4">
        <f>+P225-T225</f>
        <v>-101646.01000000001</v>
      </c>
      <c r="Y225" s="4"/>
      <c r="Z225" s="12">
        <f>IF(T225=0,0,X225/T225)</f>
        <v>-0.23848782413797054</v>
      </c>
    </row>
    <row r="226" spans="1:26" x14ac:dyDescent="0.3">
      <c r="A226" s="9"/>
      <c r="B226" s="10"/>
      <c r="C226" s="10"/>
      <c r="D226" s="3"/>
      <c r="E226" s="3"/>
      <c r="F226" s="6"/>
      <c r="G226" s="3"/>
      <c r="H226" s="3"/>
      <c r="I226" s="3"/>
      <c r="J226" s="6"/>
      <c r="K226" s="3"/>
      <c r="L226" s="3"/>
      <c r="M226" s="3"/>
      <c r="N226" s="6"/>
      <c r="O226" s="10"/>
      <c r="P226" s="3"/>
      <c r="Q226" s="3"/>
      <c r="R226" s="6"/>
      <c r="S226" s="3"/>
      <c r="T226" s="3"/>
      <c r="U226" s="3"/>
      <c r="V226" s="6"/>
      <c r="W226" s="3"/>
      <c r="X226" s="3"/>
      <c r="Y226" s="3"/>
      <c r="Z226" s="6"/>
    </row>
    <row r="227" spans="1:26" s="23" customFormat="1" ht="15" thickBot="1" x14ac:dyDescent="0.35">
      <c r="A227" s="10"/>
      <c r="B227" s="25" t="s">
        <v>125</v>
      </c>
      <c r="C227" s="25"/>
      <c r="D227" s="33">
        <f>+D223-D225</f>
        <v>185914.06000000014</v>
      </c>
      <c r="E227" s="13"/>
      <c r="F227" s="36">
        <f>IF(D$12=0,0,D227/D$12)</f>
        <v>0.10016014606263939</v>
      </c>
      <c r="G227" s="13"/>
      <c r="H227" s="33">
        <f>+H223-H225</f>
        <v>135221.01000000065</v>
      </c>
      <c r="I227" s="13"/>
      <c r="J227" s="36">
        <f>IF(H$12=0,0,H227/H$12)</f>
        <v>6.4737449544412573E-2</v>
      </c>
      <c r="K227" s="15"/>
      <c r="L227" s="33">
        <f>D227-H227</f>
        <v>50693.049999999494</v>
      </c>
      <c r="M227" s="15"/>
      <c r="N227" s="36">
        <f>IF(H227=0,0,L227/H227)</f>
        <v>0.3748903369380191</v>
      </c>
      <c r="O227" s="26"/>
      <c r="P227" s="33">
        <f>+P223-P225</f>
        <v>-194455.49000000049</v>
      </c>
      <c r="Q227" s="13"/>
      <c r="R227" s="36">
        <f>IF(P$12=0,0,P227/P$12)</f>
        <v>-8.9529442209246593E-2</v>
      </c>
      <c r="S227" s="13"/>
      <c r="T227" s="33">
        <f>+T223-T225</f>
        <v>-102231.93999999959</v>
      </c>
      <c r="U227" s="13"/>
      <c r="V227" s="36">
        <f>IF(T$12=0,0,T227/T$12)</f>
        <v>-4.0497607634273958E-2</v>
      </c>
      <c r="W227" s="15"/>
      <c r="X227" s="33">
        <f>P227-T227</f>
        <v>-92223.550000000891</v>
      </c>
      <c r="Y227" s="15"/>
      <c r="Z227" s="36">
        <f>IF(T227=0,0,X227/T227)</f>
        <v>0.90210114373258743</v>
      </c>
    </row>
    <row r="228" spans="1:26" ht="15" thickTop="1" x14ac:dyDescent="0.3">
      <c r="A228" s="9"/>
      <c r="B228" s="9"/>
      <c r="C228" s="9"/>
      <c r="D228" s="3"/>
      <c r="E228" s="3"/>
      <c r="F228" s="6"/>
      <c r="G228" s="3"/>
      <c r="H228" s="3"/>
      <c r="I228" s="3"/>
      <c r="J228" s="6"/>
      <c r="K228" s="3"/>
      <c r="L228" s="3"/>
      <c r="M228" s="3"/>
      <c r="N228" s="6"/>
      <c r="P228" s="3"/>
      <c r="Q228" s="3"/>
      <c r="R228" s="6"/>
      <c r="S228" s="3"/>
      <c r="T228" s="3"/>
      <c r="U228" s="3"/>
      <c r="V228" s="6"/>
      <c r="W228" s="3"/>
      <c r="X228" s="3"/>
      <c r="Y228" s="3"/>
      <c r="Z228" s="6"/>
    </row>
    <row r="229" spans="1:26" x14ac:dyDescent="0.3">
      <c r="A229" s="9"/>
      <c r="B229" s="9"/>
      <c r="C229" s="9"/>
      <c r="D229" s="3"/>
      <c r="E229" s="3"/>
      <c r="F229" s="6"/>
      <c r="G229" s="3"/>
      <c r="H229" s="3"/>
      <c r="I229" s="3"/>
      <c r="J229" s="6"/>
      <c r="K229" s="3"/>
      <c r="L229" s="3"/>
      <c r="M229" s="3"/>
      <c r="N229" s="6"/>
      <c r="P229" s="3"/>
      <c r="Q229" s="3"/>
      <c r="R229" s="6"/>
      <c r="S229" s="3"/>
      <c r="T229" s="3"/>
      <c r="U229" s="3"/>
      <c r="V229" s="6"/>
      <c r="W229" s="3"/>
      <c r="X229" s="3"/>
      <c r="Y229" s="3"/>
      <c r="Z229" s="6"/>
    </row>
    <row r="230" spans="1:26" s="23" customFormat="1" ht="15" thickBot="1" x14ac:dyDescent="0.35">
      <c r="A230" s="10"/>
      <c r="B230" s="25" t="s">
        <v>293</v>
      </c>
      <c r="C230" s="25"/>
      <c r="D230" s="30">
        <f>SUM(D227:D229)</f>
        <v>185914.06000000014</v>
      </c>
      <c r="E230" s="13"/>
      <c r="F230" s="31">
        <f>IF(D$12=0,0,D230/D$12)</f>
        <v>0.10016014606263939</v>
      </c>
      <c r="G230" s="13"/>
      <c r="H230" s="30">
        <f>SUM(H227:H229)</f>
        <v>135221.01000000065</v>
      </c>
      <c r="I230" s="13"/>
      <c r="J230" s="31">
        <f>IF(H$12=0,0,H230/H$12)</f>
        <v>6.4737449544412573E-2</v>
      </c>
      <c r="K230" s="15"/>
      <c r="L230" s="30">
        <f>+D230-H230</f>
        <v>50693.049999999494</v>
      </c>
      <c r="M230" s="15"/>
      <c r="N230" s="31">
        <f>IF(H230=0,0,L230/H230)</f>
        <v>0.3748903369380191</v>
      </c>
      <c r="O230" s="26"/>
      <c r="P230" s="30">
        <f>SUM(P227:P229)</f>
        <v>-194455.49000000049</v>
      </c>
      <c r="Q230" s="13"/>
      <c r="R230" s="31">
        <f>IF(P$12=0,0,P230/P$12)</f>
        <v>-8.9529442209246593E-2</v>
      </c>
      <c r="S230" s="13"/>
      <c r="T230" s="30">
        <f>SUM(T227:T229)</f>
        <v>-102231.93999999959</v>
      </c>
      <c r="U230" s="13"/>
      <c r="V230" s="31">
        <f>IF(T$12=0,0,T230/T$12)</f>
        <v>-4.0497607634273958E-2</v>
      </c>
      <c r="W230" s="15"/>
      <c r="X230" s="30">
        <f>+P230-T230</f>
        <v>-92223.550000000891</v>
      </c>
      <c r="Y230" s="15"/>
      <c r="Z230" s="31">
        <f>IF(T230=0,0,X230/T230)</f>
        <v>0.90210114373258743</v>
      </c>
    </row>
    <row r="231" spans="1:26" ht="15" thickTop="1" x14ac:dyDescent="0.3">
      <c r="A231" s="9"/>
      <c r="C231" s="9"/>
      <c r="D231" s="17"/>
      <c r="E231" s="17"/>
      <c r="G231" s="17"/>
      <c r="H231" s="17"/>
      <c r="I231" s="17"/>
      <c r="J231" s="43"/>
      <c r="K231" s="17"/>
      <c r="L231" s="17"/>
      <c r="M231" s="17"/>
      <c r="P231" s="17"/>
      <c r="Q231" s="17"/>
      <c r="R231" s="43"/>
      <c r="S231" s="17"/>
      <c r="T231" s="17"/>
      <c r="U231" s="17"/>
      <c r="V231" s="43"/>
      <c r="W231" s="17"/>
      <c r="X231" s="17"/>
    </row>
    <row r="232" spans="1:26" x14ac:dyDescent="0.3">
      <c r="A232" s="9"/>
      <c r="B232" s="59">
        <v>44470.840521874998</v>
      </c>
      <c r="D232" s="17"/>
      <c r="E232" s="17"/>
      <c r="G232" s="17"/>
      <c r="H232" s="17"/>
      <c r="I232" s="17"/>
      <c r="J232" s="43"/>
      <c r="K232" s="17"/>
      <c r="L232" s="17"/>
      <c r="M232" s="17"/>
      <c r="P232" s="17"/>
      <c r="Q232" s="17"/>
      <c r="R232" s="43"/>
      <c r="S232" s="17"/>
      <c r="T232" s="17"/>
      <c r="U232" s="17"/>
      <c r="V232" s="43"/>
      <c r="W232" s="17"/>
      <c r="X232" s="17"/>
    </row>
    <row r="233" spans="1:26" x14ac:dyDescent="0.3">
      <c r="A233" s="9"/>
      <c r="B233" s="58" t="s">
        <v>56</v>
      </c>
      <c r="D233" s="17"/>
      <c r="E233" s="17"/>
      <c r="G233" s="17"/>
      <c r="H233" s="17"/>
      <c r="I233" s="17"/>
      <c r="J233" s="43"/>
      <c r="K233" s="17"/>
      <c r="L233" s="17"/>
      <c r="M233" s="17"/>
      <c r="P233" s="17"/>
      <c r="Q233" s="17"/>
      <c r="R233" s="43"/>
      <c r="S233" s="17"/>
      <c r="T233" s="17"/>
      <c r="U233" s="17"/>
      <c r="V233" s="43"/>
      <c r="W233" s="17"/>
      <c r="X233" s="17"/>
    </row>
    <row r="234" spans="1:26" x14ac:dyDescent="0.3">
      <c r="A234" s="9"/>
      <c r="B234" s="52"/>
      <c r="D234" s="17"/>
      <c r="E234" s="17"/>
      <c r="G234" s="17"/>
      <c r="H234" s="17"/>
      <c r="I234" s="17"/>
      <c r="J234" s="43"/>
      <c r="K234" s="17"/>
      <c r="L234" s="17"/>
      <c r="M234" s="17"/>
      <c r="P234" s="17"/>
      <c r="Q234" s="17"/>
      <c r="R234" s="43"/>
      <c r="S234" s="17"/>
      <c r="T234" s="17"/>
      <c r="U234" s="17"/>
      <c r="V234" s="43"/>
      <c r="W234" s="17"/>
      <c r="X234" s="17"/>
    </row>
    <row r="235" spans="1:26" x14ac:dyDescent="0.3">
      <c r="D235" s="17"/>
      <c r="E235" s="17"/>
      <c r="G235" s="17"/>
      <c r="H235" s="17"/>
      <c r="I235" s="17"/>
      <c r="J235" s="43"/>
      <c r="K235" s="17"/>
      <c r="L235" s="17"/>
      <c r="M235" s="17"/>
      <c r="P235" s="17"/>
      <c r="Q235" s="17"/>
      <c r="R235" s="43"/>
      <c r="S235" s="17"/>
      <c r="T235" s="17"/>
      <c r="U235" s="17"/>
      <c r="V235" s="43"/>
      <c r="W235" s="17"/>
      <c r="X235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","301", " - ", "Bookstore Operations")</f>
        <v>Department 301 - Bookstore Operations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166653.49000000002</v>
      </c>
      <c r="E18" s="21"/>
      <c r="F18" s="32">
        <f t="shared" ref="F18:F29" si="0">IF(D$12=0,0,D18/D$12)</f>
        <v>0</v>
      </c>
      <c r="G18" s="21"/>
      <c r="H18" s="21">
        <f>SUM(OSRRefH22x_0)</f>
        <v>141962.66000000003</v>
      </c>
      <c r="I18" s="21"/>
      <c r="J18" s="32">
        <f t="shared" ref="J18:J29" si="1">IF(H$12=0,0,H18/H$12)</f>
        <v>0</v>
      </c>
      <c r="K18" s="4"/>
      <c r="L18" s="21">
        <f t="shared" ref="L18:L29" si="2">+D18-H18</f>
        <v>24690.829999999987</v>
      </c>
      <c r="M18" s="4"/>
      <c r="N18" s="32">
        <f t="shared" ref="N18:N29" si="3">IF(H18=0,0,L18/H18)</f>
        <v>0.1739248193856045</v>
      </c>
      <c r="O18" s="10"/>
      <c r="P18" s="21">
        <f>SUM(OSRRefP22x_0)</f>
        <v>346328.41000000009</v>
      </c>
      <c r="Q18" s="21"/>
      <c r="R18" s="32">
        <f t="shared" ref="R18:R29" si="4">IF(P$12=0,0,P18/P$12)</f>
        <v>0</v>
      </c>
      <c r="S18" s="21"/>
      <c r="T18" s="21">
        <f>SUM(OSRRefT22x_0)</f>
        <v>307379.36</v>
      </c>
      <c r="U18" s="21"/>
      <c r="V18" s="32">
        <f t="shared" ref="V18:V29" si="5">IF(T$12=0,0,T18/T$12)</f>
        <v>0</v>
      </c>
      <c r="W18" s="4"/>
      <c r="X18" s="21">
        <f t="shared" ref="X18:X29" si="6">+P18-T18</f>
        <v>38949.050000000105</v>
      </c>
      <c r="Y18" s="4"/>
      <c r="Z18" s="32">
        <f t="shared" ref="Z18:Z29" si="7">IF(T18=0,0,X18/T18)</f>
        <v>0.12671329005304749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15087.93</v>
      </c>
      <c r="E19" s="1"/>
      <c r="F19" s="5">
        <f t="shared" si="0"/>
        <v>0</v>
      </c>
      <c r="G19" s="1"/>
      <c r="H19" s="1">
        <f>SUM(OSRRefH22_0x_0)</f>
        <v>9570.6299999999992</v>
      </c>
      <c r="I19" s="1"/>
      <c r="J19" s="5">
        <f t="shared" si="1"/>
        <v>0</v>
      </c>
      <c r="K19" s="1"/>
      <c r="L19" s="1">
        <f t="shared" si="2"/>
        <v>5517.3000000000011</v>
      </c>
      <c r="M19" s="1"/>
      <c r="N19" s="5">
        <f t="shared" si="3"/>
        <v>0.57648242592180465</v>
      </c>
      <c r="O19" s="14"/>
      <c r="P19" s="1">
        <f>SUM(OSRRefP22_0x_0)</f>
        <v>28111.699999999997</v>
      </c>
      <c r="Q19" s="1"/>
      <c r="R19" s="5">
        <f t="shared" si="4"/>
        <v>0</v>
      </c>
      <c r="S19" s="1"/>
      <c r="T19" s="1">
        <f>SUM(OSRRefT22_0x_0)</f>
        <v>18086.96</v>
      </c>
      <c r="U19" s="1"/>
      <c r="V19" s="5">
        <f t="shared" si="5"/>
        <v>0</v>
      </c>
      <c r="W19" s="1"/>
      <c r="X19" s="1">
        <f t="shared" si="6"/>
        <v>10024.739999999998</v>
      </c>
      <c r="Y19" s="1"/>
      <c r="Z19" s="5">
        <f t="shared" si="7"/>
        <v>0.55425234533608736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4189.24</v>
      </c>
      <c r="E20" s="2"/>
      <c r="F20" s="8">
        <f t="shared" si="0"/>
        <v>0</v>
      </c>
      <c r="G20" s="2"/>
      <c r="H20" s="7">
        <v>4014.83</v>
      </c>
      <c r="I20" s="2"/>
      <c r="J20" s="8">
        <f t="shared" si="1"/>
        <v>0</v>
      </c>
      <c r="K20" s="2"/>
      <c r="L20" s="7">
        <f t="shared" si="2"/>
        <v>174.40999999999985</v>
      </c>
      <c r="M20" s="2"/>
      <c r="N20" s="8">
        <f t="shared" si="3"/>
        <v>4.3441440858018862E-2</v>
      </c>
      <c r="O20" s="11"/>
      <c r="P20" s="7">
        <v>7208.73</v>
      </c>
      <c r="Q20" s="2"/>
      <c r="R20" s="8">
        <f t="shared" si="4"/>
        <v>0</v>
      </c>
      <c r="S20" s="2"/>
      <c r="T20" s="7">
        <v>6261.85</v>
      </c>
      <c r="U20" s="2"/>
      <c r="V20" s="8">
        <f t="shared" si="5"/>
        <v>0</v>
      </c>
      <c r="W20" s="2"/>
      <c r="X20" s="7">
        <f t="shared" si="6"/>
        <v>946.8799999999992</v>
      </c>
      <c r="Y20" s="2"/>
      <c r="Z20" s="8">
        <f t="shared" si="7"/>
        <v>0.15121409807005903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854.3</v>
      </c>
      <c r="E21" s="2"/>
      <c r="F21" s="8">
        <f t="shared" si="0"/>
        <v>0</v>
      </c>
      <c r="G21" s="2"/>
      <c r="H21" s="7">
        <v>831.57</v>
      </c>
      <c r="I21" s="2"/>
      <c r="J21" s="8">
        <f t="shared" si="1"/>
        <v>0</v>
      </c>
      <c r="K21" s="2"/>
      <c r="L21" s="7">
        <f t="shared" si="2"/>
        <v>22.729999999999905</v>
      </c>
      <c r="M21" s="2"/>
      <c r="N21" s="8">
        <f t="shared" si="3"/>
        <v>2.7333838402058639E-2</v>
      </c>
      <c r="O21" s="11"/>
      <c r="P21" s="7">
        <v>1459.44</v>
      </c>
      <c r="Q21" s="2"/>
      <c r="R21" s="8">
        <f t="shared" si="4"/>
        <v>0</v>
      </c>
      <c r="S21" s="2"/>
      <c r="T21" s="7">
        <v>1578.59</v>
      </c>
      <c r="U21" s="2"/>
      <c r="V21" s="8">
        <f t="shared" si="5"/>
        <v>0</v>
      </c>
      <c r="W21" s="2"/>
      <c r="X21" s="7">
        <f t="shared" si="6"/>
        <v>-119.14999999999986</v>
      </c>
      <c r="Y21" s="2"/>
      <c r="Z21" s="8">
        <f t="shared" si="7"/>
        <v>-7.5478750023755301E-2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5081.28</v>
      </c>
      <c r="E22" s="2"/>
      <c r="F22" s="8">
        <f t="shared" si="0"/>
        <v>0</v>
      </c>
      <c r="G22" s="2"/>
      <c r="H22" s="7">
        <v>1722.33</v>
      </c>
      <c r="I22" s="2"/>
      <c r="J22" s="8">
        <f t="shared" si="1"/>
        <v>0</v>
      </c>
      <c r="K22" s="2"/>
      <c r="L22" s="7">
        <f t="shared" si="2"/>
        <v>3358.95</v>
      </c>
      <c r="M22" s="2"/>
      <c r="N22" s="8">
        <f t="shared" si="3"/>
        <v>1.9502360174879378</v>
      </c>
      <c r="O22" s="11"/>
      <c r="P22" s="7">
        <v>10162.56</v>
      </c>
      <c r="Q22" s="2"/>
      <c r="R22" s="8">
        <f t="shared" si="4"/>
        <v>0</v>
      </c>
      <c r="S22" s="2"/>
      <c r="T22" s="7">
        <v>3379.72</v>
      </c>
      <c r="U22" s="2"/>
      <c r="V22" s="8">
        <f t="shared" si="5"/>
        <v>0</v>
      </c>
      <c r="W22" s="2"/>
      <c r="X22" s="7">
        <f t="shared" si="6"/>
        <v>6782.84</v>
      </c>
      <c r="Y22" s="2"/>
      <c r="Z22" s="8">
        <f t="shared" si="7"/>
        <v>2.0069236504799215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153.36000000000001</v>
      </c>
      <c r="E23" s="2"/>
      <c r="F23" s="8">
        <f t="shared" si="0"/>
        <v>0</v>
      </c>
      <c r="G23" s="2"/>
      <c r="H23" s="7">
        <v>140.86000000000001</v>
      </c>
      <c r="I23" s="2"/>
      <c r="J23" s="8">
        <f t="shared" si="1"/>
        <v>0</v>
      </c>
      <c r="K23" s="2"/>
      <c r="L23" s="7">
        <f t="shared" si="2"/>
        <v>12.5</v>
      </c>
      <c r="M23" s="2"/>
      <c r="N23" s="8">
        <f t="shared" si="3"/>
        <v>8.8740593497089307E-2</v>
      </c>
      <c r="O23" s="11"/>
      <c r="P23" s="7">
        <v>263.01</v>
      </c>
      <c r="Q23" s="2"/>
      <c r="R23" s="8">
        <f t="shared" si="4"/>
        <v>0</v>
      </c>
      <c r="S23" s="2"/>
      <c r="T23" s="7">
        <v>245.86</v>
      </c>
      <c r="U23" s="2"/>
      <c r="V23" s="8">
        <f t="shared" si="5"/>
        <v>0</v>
      </c>
      <c r="W23" s="2"/>
      <c r="X23" s="7">
        <f t="shared" si="6"/>
        <v>17.149999999999977</v>
      </c>
      <c r="Y23" s="2"/>
      <c r="Z23" s="8">
        <f t="shared" si="7"/>
        <v>6.9755145204587879E-2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1518.86</v>
      </c>
      <c r="E24" s="2"/>
      <c r="F24" s="8">
        <f t="shared" si="0"/>
        <v>0</v>
      </c>
      <c r="G24" s="2"/>
      <c r="H24" s="7">
        <v>1171.6300000000001</v>
      </c>
      <c r="I24" s="2"/>
      <c r="J24" s="8">
        <f t="shared" si="1"/>
        <v>0</v>
      </c>
      <c r="K24" s="2"/>
      <c r="L24" s="7">
        <f t="shared" si="2"/>
        <v>347.22999999999979</v>
      </c>
      <c r="M24" s="2"/>
      <c r="N24" s="8">
        <f t="shared" si="3"/>
        <v>0.29636489335370358</v>
      </c>
      <c r="O24" s="11"/>
      <c r="P24" s="7">
        <v>3037.72</v>
      </c>
      <c r="Q24" s="2"/>
      <c r="R24" s="8">
        <f t="shared" si="4"/>
        <v>0</v>
      </c>
      <c r="S24" s="2"/>
      <c r="T24" s="7">
        <v>2530.9699999999998</v>
      </c>
      <c r="U24" s="2"/>
      <c r="V24" s="8">
        <f t="shared" si="5"/>
        <v>0</v>
      </c>
      <c r="W24" s="2"/>
      <c r="X24" s="7">
        <f t="shared" si="6"/>
        <v>506.75</v>
      </c>
      <c r="Y24" s="2"/>
      <c r="Z24" s="8">
        <f t="shared" si="7"/>
        <v>0.2002196786212401</v>
      </c>
    </row>
    <row r="25" spans="1:26" s="24" customFormat="1" hidden="1" outlineLevel="2" x14ac:dyDescent="0.3">
      <c r="A25" s="27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8">
        <f t="shared" si="0"/>
        <v>0</v>
      </c>
      <c r="G25" s="2"/>
      <c r="H25" s="7"/>
      <c r="I25" s="2"/>
      <c r="J25" s="8">
        <f t="shared" si="1"/>
        <v>0</v>
      </c>
      <c r="K25" s="2"/>
      <c r="L25" s="7">
        <f t="shared" si="2"/>
        <v>0</v>
      </c>
      <c r="M25" s="2"/>
      <c r="N25" s="8">
        <f t="shared" si="3"/>
        <v>0</v>
      </c>
      <c r="O25" s="11"/>
      <c r="P25" s="7"/>
      <c r="Q25" s="2"/>
      <c r="R25" s="8">
        <f t="shared" si="4"/>
        <v>0</v>
      </c>
      <c r="S25" s="2"/>
      <c r="T25" s="7">
        <v>401.9</v>
      </c>
      <c r="U25" s="2"/>
      <c r="V25" s="8">
        <f t="shared" si="5"/>
        <v>0</v>
      </c>
      <c r="W25" s="2"/>
      <c r="X25" s="7">
        <f t="shared" si="6"/>
        <v>-401.9</v>
      </c>
      <c r="Y25" s="2"/>
      <c r="Z25" s="8">
        <f t="shared" si="7"/>
        <v>-1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430.36</v>
      </c>
      <c r="E26" s="2"/>
      <c r="F26" s="8">
        <f t="shared" si="0"/>
        <v>0</v>
      </c>
      <c r="G26" s="2"/>
      <c r="H26" s="7"/>
      <c r="I26" s="2"/>
      <c r="J26" s="8">
        <f t="shared" si="1"/>
        <v>0</v>
      </c>
      <c r="K26" s="2"/>
      <c r="L26" s="7">
        <f t="shared" si="2"/>
        <v>430.36</v>
      </c>
      <c r="M26" s="2"/>
      <c r="N26" s="8">
        <f t="shared" si="3"/>
        <v>0</v>
      </c>
      <c r="O26" s="11"/>
      <c r="P26" s="7">
        <v>729.6</v>
      </c>
      <c r="Q26" s="2"/>
      <c r="R26" s="8">
        <f t="shared" si="4"/>
        <v>0</v>
      </c>
      <c r="S26" s="2"/>
      <c r="T26" s="7"/>
      <c r="U26" s="2"/>
      <c r="V26" s="8">
        <f t="shared" si="5"/>
        <v>0</v>
      </c>
      <c r="W26" s="2"/>
      <c r="X26" s="7">
        <f t="shared" si="6"/>
        <v>729.6</v>
      </c>
      <c r="Y26" s="2"/>
      <c r="Z26" s="8">
        <f t="shared" si="7"/>
        <v>0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1367.23</v>
      </c>
      <c r="E27" s="2"/>
      <c r="F27" s="8">
        <f t="shared" si="0"/>
        <v>0</v>
      </c>
      <c r="G27" s="2"/>
      <c r="H27" s="7">
        <v>982.38</v>
      </c>
      <c r="I27" s="2"/>
      <c r="J27" s="8">
        <f t="shared" si="1"/>
        <v>0</v>
      </c>
      <c r="K27" s="2"/>
      <c r="L27" s="7">
        <f t="shared" si="2"/>
        <v>384.85</v>
      </c>
      <c r="M27" s="2"/>
      <c r="N27" s="8">
        <f t="shared" si="3"/>
        <v>0.39175268226144672</v>
      </c>
      <c r="O27" s="11"/>
      <c r="P27" s="7">
        <v>2535.52</v>
      </c>
      <c r="Q27" s="2"/>
      <c r="R27" s="8">
        <f t="shared" si="4"/>
        <v>0</v>
      </c>
      <c r="S27" s="2"/>
      <c r="T27" s="7">
        <v>2144.36</v>
      </c>
      <c r="U27" s="2"/>
      <c r="V27" s="8">
        <f t="shared" si="5"/>
        <v>0</v>
      </c>
      <c r="W27" s="2"/>
      <c r="X27" s="7">
        <f t="shared" si="6"/>
        <v>391.15999999999985</v>
      </c>
      <c r="Y27" s="2"/>
      <c r="Z27" s="8">
        <f t="shared" si="7"/>
        <v>0.18241340073495113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955.23</v>
      </c>
      <c r="E28" s="2"/>
      <c r="F28" s="8">
        <f t="shared" si="0"/>
        <v>0</v>
      </c>
      <c r="G28" s="2"/>
      <c r="H28" s="7">
        <v>616.29</v>
      </c>
      <c r="I28" s="2"/>
      <c r="J28" s="8">
        <f t="shared" si="1"/>
        <v>0</v>
      </c>
      <c r="K28" s="2"/>
      <c r="L28" s="7">
        <f t="shared" si="2"/>
        <v>338.94000000000005</v>
      </c>
      <c r="M28" s="2"/>
      <c r="N28" s="8">
        <f t="shared" si="3"/>
        <v>0.54996835905174524</v>
      </c>
      <c r="O28" s="11"/>
      <c r="P28" s="7">
        <v>1910.46</v>
      </c>
      <c r="Q28" s="2"/>
      <c r="R28" s="8">
        <f t="shared" si="4"/>
        <v>0</v>
      </c>
      <c r="S28" s="2"/>
      <c r="T28" s="7">
        <v>1374.62</v>
      </c>
      <c r="U28" s="2"/>
      <c r="V28" s="8">
        <f t="shared" si="5"/>
        <v>0</v>
      </c>
      <c r="W28" s="2"/>
      <c r="X28" s="7">
        <f t="shared" si="6"/>
        <v>535.84000000000015</v>
      </c>
      <c r="Y28" s="2"/>
      <c r="Z28" s="8">
        <f t="shared" si="7"/>
        <v>0.38980954736581758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7">
        <v>538.07000000000005</v>
      </c>
      <c r="E29" s="2"/>
      <c r="F29" s="8">
        <f t="shared" si="0"/>
        <v>0</v>
      </c>
      <c r="G29" s="2"/>
      <c r="H29" s="7">
        <v>90.74</v>
      </c>
      <c r="I29" s="2"/>
      <c r="J29" s="8">
        <f t="shared" si="1"/>
        <v>0</v>
      </c>
      <c r="K29" s="2"/>
      <c r="L29" s="7">
        <f t="shared" si="2"/>
        <v>447.33000000000004</v>
      </c>
      <c r="M29" s="2"/>
      <c r="N29" s="8">
        <f t="shared" si="3"/>
        <v>4.9297994269340979</v>
      </c>
      <c r="O29" s="11"/>
      <c r="P29" s="7">
        <v>804.66</v>
      </c>
      <c r="Q29" s="2"/>
      <c r="R29" s="8">
        <f t="shared" si="4"/>
        <v>0</v>
      </c>
      <c r="S29" s="2"/>
      <c r="T29" s="7">
        <v>169.09</v>
      </c>
      <c r="U29" s="2"/>
      <c r="V29" s="8">
        <f t="shared" si="5"/>
        <v>0</v>
      </c>
      <c r="W29" s="2"/>
      <c r="X29" s="7">
        <f t="shared" si="6"/>
        <v>635.56999999999994</v>
      </c>
      <c r="Y29" s="2"/>
      <c r="Z29" s="8">
        <f t="shared" si="7"/>
        <v>3.7587675202554847</v>
      </c>
    </row>
    <row r="30" spans="1:26" s="28" customFormat="1" outlineLevel="1" collapsed="1" x14ac:dyDescent="0.3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64285.560000000005</v>
      </c>
      <c r="E30" s="1"/>
      <c r="F30" s="5">
        <f t="shared" ref="F30:F37" si="8">IF(D$12=0,0,D30/D$12)</f>
        <v>0</v>
      </c>
      <c r="G30" s="1"/>
      <c r="H30" s="1">
        <f>SUM(OSRRefH22_1x_0)</f>
        <v>65252.41</v>
      </c>
      <c r="I30" s="1"/>
      <c r="J30" s="5">
        <f t="shared" ref="J30:J37" si="9">IF(H$12=0,0,H30/H$12)</f>
        <v>0</v>
      </c>
      <c r="K30" s="1"/>
      <c r="L30" s="1">
        <f t="shared" ref="L30:L37" si="10">+D30-H30</f>
        <v>-966.84999999999854</v>
      </c>
      <c r="M30" s="1"/>
      <c r="N30" s="5">
        <f t="shared" ref="N30:N37" si="11">IF(H30=0,0,L30/H30)</f>
        <v>-1.4817077254311349E-2</v>
      </c>
      <c r="O30" s="14"/>
      <c r="P30" s="1">
        <f>SUM(OSRRefP22_1x_0)</f>
        <v>119478.53</v>
      </c>
      <c r="Q30" s="1"/>
      <c r="R30" s="5">
        <f t="shared" ref="R30:R37" si="12">IF(P$12=0,0,P30/P$12)</f>
        <v>0</v>
      </c>
      <c r="S30" s="1"/>
      <c r="T30" s="1">
        <f>SUM(OSRRefT22_1x_0)</f>
        <v>109075.02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10403.509999999995</v>
      </c>
      <c r="Y30" s="1"/>
      <c r="Z30" s="5">
        <f t="shared" ref="Z30:Z37" si="15">IF(T30=0,0,X30/T30)</f>
        <v>9.5379400342993234E-2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7">
        <v>4479.1000000000004</v>
      </c>
      <c r="E31" s="2"/>
      <c r="F31" s="8">
        <f t="shared" si="8"/>
        <v>0</v>
      </c>
      <c r="G31" s="2"/>
      <c r="H31" s="7">
        <v>4205.74</v>
      </c>
      <c r="I31" s="2"/>
      <c r="J31" s="8">
        <f t="shared" si="9"/>
        <v>0</v>
      </c>
      <c r="K31" s="2"/>
      <c r="L31" s="7">
        <f t="shared" si="10"/>
        <v>273.36000000000058</v>
      </c>
      <c r="M31" s="2"/>
      <c r="N31" s="8">
        <f t="shared" si="11"/>
        <v>6.4996885209261765E-2</v>
      </c>
      <c r="O31" s="11"/>
      <c r="P31" s="7">
        <v>10078.200000000001</v>
      </c>
      <c r="Q31" s="2"/>
      <c r="R31" s="8">
        <f t="shared" si="12"/>
        <v>0</v>
      </c>
      <c r="S31" s="2"/>
      <c r="T31" s="7">
        <v>9042.91</v>
      </c>
      <c r="U31" s="2"/>
      <c r="V31" s="8">
        <f t="shared" si="13"/>
        <v>0</v>
      </c>
      <c r="W31" s="2"/>
      <c r="X31" s="7">
        <f t="shared" si="14"/>
        <v>1035.2900000000009</v>
      </c>
      <c r="Y31" s="2"/>
      <c r="Z31" s="8">
        <f t="shared" si="15"/>
        <v>0.11448637661991559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>
        <v>8600.02</v>
      </c>
      <c r="E32" s="2"/>
      <c r="F32" s="8">
        <f t="shared" si="8"/>
        <v>0</v>
      </c>
      <c r="G32" s="2"/>
      <c r="H32" s="7">
        <v>9219.92</v>
      </c>
      <c r="I32" s="2"/>
      <c r="J32" s="8">
        <f t="shared" si="9"/>
        <v>0</v>
      </c>
      <c r="K32" s="2"/>
      <c r="L32" s="7">
        <f t="shared" si="10"/>
        <v>-619.89999999999964</v>
      </c>
      <c r="M32" s="2"/>
      <c r="N32" s="8">
        <f t="shared" si="11"/>
        <v>-6.7234856701576542E-2</v>
      </c>
      <c r="O32" s="11"/>
      <c r="P32" s="7">
        <v>22015.66</v>
      </c>
      <c r="Q32" s="2"/>
      <c r="R32" s="8">
        <f t="shared" si="12"/>
        <v>0</v>
      </c>
      <c r="S32" s="2"/>
      <c r="T32" s="7">
        <v>18076.22</v>
      </c>
      <c r="U32" s="2"/>
      <c r="V32" s="8">
        <f t="shared" si="13"/>
        <v>0</v>
      </c>
      <c r="W32" s="2"/>
      <c r="X32" s="7">
        <f t="shared" si="14"/>
        <v>3939.4399999999987</v>
      </c>
      <c r="Y32" s="2"/>
      <c r="Z32" s="8">
        <f t="shared" si="15"/>
        <v>0.21793494436336791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7">
        <v>4938.75</v>
      </c>
      <c r="E33" s="2"/>
      <c r="F33" s="8">
        <f t="shared" si="8"/>
        <v>0</v>
      </c>
      <c r="G33" s="2"/>
      <c r="H33" s="7"/>
      <c r="I33" s="2"/>
      <c r="J33" s="8">
        <f t="shared" si="9"/>
        <v>0</v>
      </c>
      <c r="K33" s="2"/>
      <c r="L33" s="7">
        <f t="shared" si="10"/>
        <v>4938.75</v>
      </c>
      <c r="M33" s="2"/>
      <c r="N33" s="8">
        <f t="shared" si="11"/>
        <v>0</v>
      </c>
      <c r="O33" s="11"/>
      <c r="P33" s="7">
        <v>8493.25</v>
      </c>
      <c r="Q33" s="2"/>
      <c r="R33" s="8">
        <f t="shared" si="12"/>
        <v>0</v>
      </c>
      <c r="S33" s="2"/>
      <c r="T33" s="7">
        <v>3465.6</v>
      </c>
      <c r="U33" s="2"/>
      <c r="V33" s="8">
        <f t="shared" si="13"/>
        <v>0</v>
      </c>
      <c r="W33" s="2"/>
      <c r="X33" s="7">
        <f t="shared" si="14"/>
        <v>5027.6499999999996</v>
      </c>
      <c r="Y33" s="2"/>
      <c r="Z33" s="8">
        <f t="shared" si="15"/>
        <v>1.4507300323176362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7">
        <v>3175.05</v>
      </c>
      <c r="E34" s="2"/>
      <c r="F34" s="8">
        <f t="shared" si="8"/>
        <v>0</v>
      </c>
      <c r="G34" s="2"/>
      <c r="H34" s="7">
        <v>11519.7</v>
      </c>
      <c r="I34" s="2"/>
      <c r="J34" s="8">
        <f t="shared" si="9"/>
        <v>0</v>
      </c>
      <c r="K34" s="2"/>
      <c r="L34" s="7">
        <f t="shared" si="10"/>
        <v>-8344.6500000000015</v>
      </c>
      <c r="M34" s="2"/>
      <c r="N34" s="8">
        <f t="shared" si="11"/>
        <v>-0.72438084325112639</v>
      </c>
      <c r="O34" s="11"/>
      <c r="P34" s="7">
        <v>5379.29</v>
      </c>
      <c r="Q34" s="2"/>
      <c r="R34" s="8">
        <f t="shared" si="12"/>
        <v>0</v>
      </c>
      <c r="S34" s="2"/>
      <c r="T34" s="7">
        <v>19981.8</v>
      </c>
      <c r="U34" s="2"/>
      <c r="V34" s="8">
        <f t="shared" si="13"/>
        <v>0</v>
      </c>
      <c r="W34" s="2"/>
      <c r="X34" s="7">
        <f t="shared" si="14"/>
        <v>-14602.509999999998</v>
      </c>
      <c r="Y34" s="2"/>
      <c r="Z34" s="8">
        <f t="shared" si="15"/>
        <v>-0.73079051937262907</v>
      </c>
    </row>
    <row r="35" spans="1:26" s="24" customFormat="1" hidden="1" outlineLevel="2" x14ac:dyDescent="0.3">
      <c r="A35" s="27"/>
      <c r="B35" s="11" t="str">
        <f>CONCATENATE("          ", "6006", " - ", "TEMPORARY PART TIME")</f>
        <v xml:space="preserve">          6006 - TEMPORARY PART TIME</v>
      </c>
      <c r="C35" s="11"/>
      <c r="D35" s="7">
        <v>3273.79</v>
      </c>
      <c r="E35" s="2"/>
      <c r="F35" s="8">
        <f t="shared" si="8"/>
        <v>0</v>
      </c>
      <c r="G35" s="2"/>
      <c r="H35" s="7">
        <v>1927.34</v>
      </c>
      <c r="I35" s="2"/>
      <c r="J35" s="8">
        <f t="shared" si="9"/>
        <v>0</v>
      </c>
      <c r="K35" s="2"/>
      <c r="L35" s="7">
        <f t="shared" si="10"/>
        <v>1346.45</v>
      </c>
      <c r="M35" s="2"/>
      <c r="N35" s="8">
        <f t="shared" si="11"/>
        <v>0.69860533170068595</v>
      </c>
      <c r="O35" s="11"/>
      <c r="P35" s="7">
        <v>6138.19</v>
      </c>
      <c r="Q35" s="2"/>
      <c r="R35" s="8">
        <f t="shared" si="12"/>
        <v>0</v>
      </c>
      <c r="S35" s="2"/>
      <c r="T35" s="7">
        <v>3473.26</v>
      </c>
      <c r="U35" s="2"/>
      <c r="V35" s="8">
        <f t="shared" si="13"/>
        <v>0</v>
      </c>
      <c r="W35" s="2"/>
      <c r="X35" s="7">
        <f t="shared" si="14"/>
        <v>2664.9299999999994</v>
      </c>
      <c r="Y35" s="2"/>
      <c r="Z35" s="8">
        <f t="shared" si="15"/>
        <v>0.7672705181875239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36397.11</v>
      </c>
      <c r="E36" s="2"/>
      <c r="F36" s="8">
        <f t="shared" si="8"/>
        <v>0</v>
      </c>
      <c r="G36" s="2"/>
      <c r="H36" s="7">
        <v>38379.71</v>
      </c>
      <c r="I36" s="2"/>
      <c r="J36" s="8">
        <f t="shared" si="9"/>
        <v>0</v>
      </c>
      <c r="K36" s="2"/>
      <c r="L36" s="7">
        <f t="shared" si="10"/>
        <v>-1982.5999999999985</v>
      </c>
      <c r="M36" s="2"/>
      <c r="N36" s="8">
        <f t="shared" si="11"/>
        <v>-5.1657503404793796E-2</v>
      </c>
      <c r="O36" s="11"/>
      <c r="P36" s="7">
        <v>61986.04</v>
      </c>
      <c r="Q36" s="2"/>
      <c r="R36" s="8">
        <f t="shared" si="12"/>
        <v>0</v>
      </c>
      <c r="S36" s="2"/>
      <c r="T36" s="7">
        <v>55035.23</v>
      </c>
      <c r="U36" s="2"/>
      <c r="V36" s="8">
        <f t="shared" si="13"/>
        <v>0</v>
      </c>
      <c r="W36" s="2"/>
      <c r="X36" s="7">
        <f t="shared" si="14"/>
        <v>6950.8099999999977</v>
      </c>
      <c r="Y36" s="2"/>
      <c r="Z36" s="8">
        <f t="shared" si="15"/>
        <v>0.12629746436964101</v>
      </c>
    </row>
    <row r="37" spans="1:26" s="24" customFormat="1" hidden="1" outlineLevel="2" x14ac:dyDescent="0.3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7">
        <v>3421.74</v>
      </c>
      <c r="E37" s="2"/>
      <c r="F37" s="8">
        <f t="shared" si="8"/>
        <v>0</v>
      </c>
      <c r="G37" s="2"/>
      <c r="H37" s="7"/>
      <c r="I37" s="2"/>
      <c r="J37" s="8">
        <f t="shared" si="9"/>
        <v>0</v>
      </c>
      <c r="K37" s="2"/>
      <c r="L37" s="7">
        <f t="shared" si="10"/>
        <v>3421.74</v>
      </c>
      <c r="M37" s="2"/>
      <c r="N37" s="8">
        <f t="shared" si="11"/>
        <v>0</v>
      </c>
      <c r="O37" s="11"/>
      <c r="P37" s="7">
        <v>5387.9</v>
      </c>
      <c r="Q37" s="2"/>
      <c r="R37" s="8">
        <f t="shared" si="12"/>
        <v>0</v>
      </c>
      <c r="S37" s="2"/>
      <c r="T37" s="7"/>
      <c r="U37" s="2"/>
      <c r="V37" s="8">
        <f t="shared" si="13"/>
        <v>0</v>
      </c>
      <c r="W37" s="2"/>
      <c r="X37" s="7">
        <f t="shared" si="14"/>
        <v>5387.9</v>
      </c>
      <c r="Y37" s="2"/>
      <c r="Z37" s="8">
        <f t="shared" si="15"/>
        <v>0</v>
      </c>
    </row>
    <row r="38" spans="1:26" s="28" customFormat="1" outlineLevel="1" collapsed="1" x14ac:dyDescent="0.3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160</v>
      </c>
      <c r="E38" s="1"/>
      <c r="F38" s="5">
        <f t="shared" ref="F38:F46" si="16">IF(D$12=0,0,D38/D$12)</f>
        <v>0</v>
      </c>
      <c r="G38" s="1"/>
      <c r="H38" s="1">
        <f>SUM(OSRRefH22_2x_0)</f>
        <v>0</v>
      </c>
      <c r="I38" s="1"/>
      <c r="J38" s="5">
        <f t="shared" ref="J38:J46" si="17">IF(H$12=0,0,H38/H$12)</f>
        <v>0</v>
      </c>
      <c r="K38" s="1"/>
      <c r="L38" s="1">
        <f t="shared" ref="L38:L46" si="18">+D38-H38</f>
        <v>160</v>
      </c>
      <c r="M38" s="1"/>
      <c r="N38" s="5">
        <f t="shared" ref="N38:N46" si="19">IF(H38=0,0,L38/H38)</f>
        <v>0</v>
      </c>
      <c r="O38" s="14"/>
      <c r="P38" s="1">
        <f>SUM(OSRRefP22_2x_0)</f>
        <v>160</v>
      </c>
      <c r="Q38" s="1"/>
      <c r="R38" s="5">
        <f t="shared" ref="R38:R46" si="20">IF(P$12=0,0,P38/P$12)</f>
        <v>0</v>
      </c>
      <c r="S38" s="1"/>
      <c r="T38" s="1">
        <f>SUM(OSRRefT22_2x_0)</f>
        <v>0</v>
      </c>
      <c r="U38" s="1"/>
      <c r="V38" s="5">
        <f t="shared" ref="V38:V46" si="21">IF(T$12=0,0,T38/T$12)</f>
        <v>0</v>
      </c>
      <c r="W38" s="1"/>
      <c r="X38" s="1">
        <f t="shared" ref="X38:X46" si="22">+P38-T38</f>
        <v>160</v>
      </c>
      <c r="Y38" s="1"/>
      <c r="Z38" s="5">
        <f t="shared" ref="Z38:Z46" si="23">IF(T38=0,0,X38/T38)</f>
        <v>0</v>
      </c>
    </row>
    <row r="39" spans="1:26" s="24" customFormat="1" hidden="1" outlineLevel="2" x14ac:dyDescent="0.3">
      <c r="A39" s="27"/>
      <c r="B39" s="11" t="str">
        <f>CONCATENATE("          ", "6362", " - ", "ADVERTISING EXPENSE")</f>
        <v xml:space="preserve">          6362 - ADVERTISING EXPENSE</v>
      </c>
      <c r="C39" s="11"/>
      <c r="D39" s="7">
        <v>160</v>
      </c>
      <c r="E39" s="2"/>
      <c r="F39" s="8">
        <f t="shared" si="16"/>
        <v>0</v>
      </c>
      <c r="G39" s="2"/>
      <c r="H39" s="7"/>
      <c r="I39" s="2"/>
      <c r="J39" s="8">
        <f t="shared" si="17"/>
        <v>0</v>
      </c>
      <c r="K39" s="2"/>
      <c r="L39" s="7">
        <f t="shared" si="18"/>
        <v>160</v>
      </c>
      <c r="M39" s="2"/>
      <c r="N39" s="8">
        <f t="shared" si="19"/>
        <v>0</v>
      </c>
      <c r="O39" s="11"/>
      <c r="P39" s="7">
        <v>160</v>
      </c>
      <c r="Q39" s="2"/>
      <c r="R39" s="8">
        <f t="shared" si="20"/>
        <v>0</v>
      </c>
      <c r="S39" s="2"/>
      <c r="T39" s="7"/>
      <c r="U39" s="2"/>
      <c r="V39" s="8">
        <f t="shared" si="21"/>
        <v>0</v>
      </c>
      <c r="W39" s="2"/>
      <c r="X39" s="7">
        <f t="shared" si="22"/>
        <v>160</v>
      </c>
      <c r="Y39" s="2"/>
      <c r="Z39" s="8">
        <f t="shared" si="23"/>
        <v>0</v>
      </c>
    </row>
    <row r="40" spans="1:26" s="28" customFormat="1" outlineLevel="1" collapsed="1" x14ac:dyDescent="0.3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152.35</v>
      </c>
      <c r="E40" s="1"/>
      <c r="F40" s="5">
        <f t="shared" si="16"/>
        <v>0</v>
      </c>
      <c r="G40" s="1"/>
      <c r="H40" s="1">
        <f>SUM(OSRRefH22_3x_0)</f>
        <v>61.95</v>
      </c>
      <c r="I40" s="1"/>
      <c r="J40" s="5">
        <f t="shared" si="17"/>
        <v>0</v>
      </c>
      <c r="K40" s="1"/>
      <c r="L40" s="1">
        <f t="shared" si="18"/>
        <v>90.399999999999991</v>
      </c>
      <c r="M40" s="1"/>
      <c r="N40" s="5">
        <f t="shared" si="19"/>
        <v>1.459241323648103</v>
      </c>
      <c r="O40" s="14"/>
      <c r="P40" s="1">
        <f>SUM(OSRRefP22_3x_0)</f>
        <v>153.02000000000001</v>
      </c>
      <c r="Q40" s="1"/>
      <c r="R40" s="5">
        <f t="shared" si="20"/>
        <v>0</v>
      </c>
      <c r="S40" s="1"/>
      <c r="T40" s="1">
        <f>SUM(OSRRefT22_3x_0)</f>
        <v>67.83</v>
      </c>
      <c r="U40" s="1"/>
      <c r="V40" s="5">
        <f t="shared" si="21"/>
        <v>0</v>
      </c>
      <c r="W40" s="1"/>
      <c r="X40" s="1">
        <f t="shared" si="22"/>
        <v>85.190000000000012</v>
      </c>
      <c r="Y40" s="1"/>
      <c r="Z40" s="5">
        <f t="shared" si="23"/>
        <v>1.2559339525283799</v>
      </c>
    </row>
    <row r="41" spans="1:26" s="24" customFormat="1" hidden="1" outlineLevel="2" x14ac:dyDescent="0.3">
      <c r="A41" s="27"/>
      <c r="B41" s="11" t="str">
        <f>CONCATENATE("          ", "6272", " - ", "CASH (OVER/SHORT)")</f>
        <v xml:space="preserve">          6272 - CASH (OVER/SHORT)</v>
      </c>
      <c r="C41" s="11"/>
      <c r="D41" s="7">
        <v>152.35</v>
      </c>
      <c r="E41" s="2"/>
      <c r="F41" s="8">
        <f t="shared" si="16"/>
        <v>0</v>
      </c>
      <c r="G41" s="2"/>
      <c r="H41" s="7">
        <v>61.95</v>
      </c>
      <c r="I41" s="2"/>
      <c r="J41" s="8">
        <f t="shared" si="17"/>
        <v>0</v>
      </c>
      <c r="K41" s="2"/>
      <c r="L41" s="7">
        <f t="shared" si="18"/>
        <v>90.399999999999991</v>
      </c>
      <c r="M41" s="2"/>
      <c r="N41" s="8">
        <f t="shared" si="19"/>
        <v>1.459241323648103</v>
      </c>
      <c r="O41" s="11"/>
      <c r="P41" s="7">
        <v>153.02000000000001</v>
      </c>
      <c r="Q41" s="2"/>
      <c r="R41" s="8">
        <f t="shared" si="20"/>
        <v>0</v>
      </c>
      <c r="S41" s="2"/>
      <c r="T41" s="7">
        <v>67.83</v>
      </c>
      <c r="U41" s="2"/>
      <c r="V41" s="8">
        <f t="shared" si="21"/>
        <v>0</v>
      </c>
      <c r="W41" s="2"/>
      <c r="X41" s="7">
        <f t="shared" si="22"/>
        <v>85.190000000000012</v>
      </c>
      <c r="Y41" s="2"/>
      <c r="Z41" s="8">
        <f t="shared" si="23"/>
        <v>1.2559339525283799</v>
      </c>
    </row>
    <row r="42" spans="1:26" s="28" customFormat="1" outlineLevel="1" collapsed="1" x14ac:dyDescent="0.3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22388.61</v>
      </c>
      <c r="E42" s="1"/>
      <c r="F42" s="5">
        <f t="shared" si="16"/>
        <v>0</v>
      </c>
      <c r="G42" s="1"/>
      <c r="H42" s="1">
        <f>SUM(OSRRefH22_4x_0)</f>
        <v>21627.51</v>
      </c>
      <c r="I42" s="1"/>
      <c r="J42" s="5">
        <f t="shared" si="17"/>
        <v>0</v>
      </c>
      <c r="K42" s="1"/>
      <c r="L42" s="1">
        <f t="shared" si="18"/>
        <v>761.10000000000218</v>
      </c>
      <c r="M42" s="1"/>
      <c r="N42" s="5">
        <f t="shared" si="19"/>
        <v>3.5191291091762403E-2</v>
      </c>
      <c r="O42" s="14"/>
      <c r="P42" s="1">
        <f>SUM(OSRRefP22_4x_0)</f>
        <v>25858.17</v>
      </c>
      <c r="Q42" s="1"/>
      <c r="R42" s="5">
        <f t="shared" si="20"/>
        <v>0</v>
      </c>
      <c r="S42" s="1"/>
      <c r="T42" s="1">
        <f>SUM(OSRRefT22_4x_0)</f>
        <v>24437.83</v>
      </c>
      <c r="U42" s="1"/>
      <c r="V42" s="5">
        <f t="shared" si="21"/>
        <v>0</v>
      </c>
      <c r="W42" s="1"/>
      <c r="X42" s="1">
        <f t="shared" si="22"/>
        <v>1420.3399999999965</v>
      </c>
      <c r="Y42" s="1"/>
      <c r="Z42" s="5">
        <f t="shared" si="23"/>
        <v>5.8120545072946179E-2</v>
      </c>
    </row>
    <row r="43" spans="1:26" s="24" customFormat="1" hidden="1" outlineLevel="2" x14ac:dyDescent="0.3">
      <c r="A43" s="27"/>
      <c r="B43" s="11" t="str">
        <f>CONCATENATE("          ", "6381", " - ", "BANK/CREDIT CARD FEES")</f>
        <v xml:space="preserve">          6381 - BANK/CREDIT CARD FEES</v>
      </c>
      <c r="C43" s="11"/>
      <c r="D43" s="7">
        <v>22388.61</v>
      </c>
      <c r="E43" s="2"/>
      <c r="F43" s="8">
        <f t="shared" si="16"/>
        <v>0</v>
      </c>
      <c r="G43" s="2"/>
      <c r="H43" s="7">
        <v>21627.51</v>
      </c>
      <c r="I43" s="2"/>
      <c r="J43" s="8">
        <f t="shared" si="17"/>
        <v>0</v>
      </c>
      <c r="K43" s="2"/>
      <c r="L43" s="7">
        <f t="shared" si="18"/>
        <v>761.10000000000218</v>
      </c>
      <c r="M43" s="2"/>
      <c r="N43" s="8">
        <f t="shared" si="19"/>
        <v>3.5191291091762403E-2</v>
      </c>
      <c r="O43" s="11"/>
      <c r="P43" s="7">
        <v>25858.17</v>
      </c>
      <c r="Q43" s="2"/>
      <c r="R43" s="8">
        <f t="shared" si="20"/>
        <v>0</v>
      </c>
      <c r="S43" s="2"/>
      <c r="T43" s="7">
        <v>24437.83</v>
      </c>
      <c r="U43" s="2"/>
      <c r="V43" s="8">
        <f t="shared" si="21"/>
        <v>0</v>
      </c>
      <c r="W43" s="2"/>
      <c r="X43" s="7">
        <f t="shared" si="22"/>
        <v>1420.3399999999965</v>
      </c>
      <c r="Y43" s="2"/>
      <c r="Z43" s="8">
        <f t="shared" si="23"/>
        <v>5.8120545072946179E-2</v>
      </c>
    </row>
    <row r="44" spans="1:26" s="28" customFormat="1" outlineLevel="1" collapsed="1" x14ac:dyDescent="0.3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30550.800000000003</v>
      </c>
      <c r="E44" s="1"/>
      <c r="F44" s="5">
        <f t="shared" si="16"/>
        <v>0</v>
      </c>
      <c r="G44" s="1"/>
      <c r="H44" s="1">
        <f>SUM(OSRRefH22_5x_0)</f>
        <v>30919.45</v>
      </c>
      <c r="I44" s="1"/>
      <c r="J44" s="5">
        <f t="shared" si="17"/>
        <v>0</v>
      </c>
      <c r="K44" s="1"/>
      <c r="L44" s="1">
        <f t="shared" si="18"/>
        <v>-368.64999999999782</v>
      </c>
      <c r="M44" s="1"/>
      <c r="N44" s="5">
        <f t="shared" si="19"/>
        <v>-1.1922915834531268E-2</v>
      </c>
      <c r="O44" s="14"/>
      <c r="P44" s="1">
        <f>SUM(OSRRefP22_5x_0)</f>
        <v>61101.600000000006</v>
      </c>
      <c r="Q44" s="1"/>
      <c r="R44" s="5">
        <f t="shared" si="20"/>
        <v>0</v>
      </c>
      <c r="S44" s="1"/>
      <c r="T44" s="1">
        <f>SUM(OSRRefT22_5x_0)</f>
        <v>61096.43</v>
      </c>
      <c r="U44" s="1"/>
      <c r="V44" s="5">
        <f t="shared" si="21"/>
        <v>0</v>
      </c>
      <c r="W44" s="1"/>
      <c r="X44" s="1">
        <f t="shared" si="22"/>
        <v>5.1700000000055297</v>
      </c>
      <c r="Y44" s="1"/>
      <c r="Z44" s="5">
        <f t="shared" si="23"/>
        <v>8.4620328880190374E-5</v>
      </c>
    </row>
    <row r="45" spans="1:26" s="24" customFormat="1" hidden="1" outlineLevel="2" x14ac:dyDescent="0.3">
      <c r="A45" s="27"/>
      <c r="B45" s="11" t="str">
        <f>CONCATENATE("          ", "6321", " - ", "BUILDING DEPRECIATION")</f>
        <v xml:space="preserve">          6321 - BUILDING DEPRECIATION</v>
      </c>
      <c r="C45" s="11"/>
      <c r="D45" s="7">
        <v>16396.52</v>
      </c>
      <c r="E45" s="2"/>
      <c r="F45" s="8">
        <f t="shared" si="16"/>
        <v>0</v>
      </c>
      <c r="G45" s="2"/>
      <c r="H45" s="7">
        <v>16396.52</v>
      </c>
      <c r="I45" s="2"/>
      <c r="J45" s="8">
        <f t="shared" si="17"/>
        <v>0</v>
      </c>
      <c r="K45" s="2"/>
      <c r="L45" s="7">
        <f t="shared" si="18"/>
        <v>0</v>
      </c>
      <c r="M45" s="2"/>
      <c r="N45" s="8">
        <f t="shared" si="19"/>
        <v>0</v>
      </c>
      <c r="O45" s="11"/>
      <c r="P45" s="7">
        <v>32793.040000000001</v>
      </c>
      <c r="Q45" s="2"/>
      <c r="R45" s="8">
        <f t="shared" si="20"/>
        <v>0</v>
      </c>
      <c r="S45" s="2"/>
      <c r="T45" s="7">
        <v>32793.040000000001</v>
      </c>
      <c r="U45" s="2"/>
      <c r="V45" s="8">
        <f t="shared" si="21"/>
        <v>0</v>
      </c>
      <c r="W45" s="2"/>
      <c r="X45" s="7">
        <f t="shared" si="22"/>
        <v>0</v>
      </c>
      <c r="Y45" s="2"/>
      <c r="Z45" s="8">
        <f t="shared" si="23"/>
        <v>0</v>
      </c>
    </row>
    <row r="46" spans="1:26" s="24" customFormat="1" hidden="1" outlineLevel="2" x14ac:dyDescent="0.3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14154.28</v>
      </c>
      <c r="E46" s="2"/>
      <c r="F46" s="8">
        <f t="shared" si="16"/>
        <v>0</v>
      </c>
      <c r="G46" s="2"/>
      <c r="H46" s="7">
        <v>14522.93</v>
      </c>
      <c r="I46" s="2"/>
      <c r="J46" s="8">
        <f t="shared" si="17"/>
        <v>0</v>
      </c>
      <c r="K46" s="2"/>
      <c r="L46" s="7">
        <f t="shared" si="18"/>
        <v>-368.64999999999964</v>
      </c>
      <c r="M46" s="2"/>
      <c r="N46" s="8">
        <f t="shared" si="19"/>
        <v>-2.5383996204622596E-2</v>
      </c>
      <c r="O46" s="11"/>
      <c r="P46" s="7">
        <v>28308.560000000001</v>
      </c>
      <c r="Q46" s="2"/>
      <c r="R46" s="8">
        <f t="shared" si="20"/>
        <v>0</v>
      </c>
      <c r="S46" s="2"/>
      <c r="T46" s="7">
        <v>28303.39</v>
      </c>
      <c r="U46" s="2"/>
      <c r="V46" s="8">
        <f t="shared" si="21"/>
        <v>0</v>
      </c>
      <c r="W46" s="2"/>
      <c r="X46" s="7">
        <f t="shared" si="22"/>
        <v>5.1700000000018917</v>
      </c>
      <c r="Y46" s="2"/>
      <c r="Z46" s="8">
        <f t="shared" si="23"/>
        <v>1.8266363145905462E-4</v>
      </c>
    </row>
    <row r="47" spans="1:26" s="28" customFormat="1" outlineLevel="1" collapsed="1" x14ac:dyDescent="0.3">
      <c r="A47" s="29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SUM(OSRRefD22_6x_0)</f>
        <v>-21.81</v>
      </c>
      <c r="E47" s="1"/>
      <c r="F47" s="5">
        <f t="shared" ref="F47:F65" si="24">IF(D$12=0,0,D47/D$12)</f>
        <v>0</v>
      </c>
      <c r="G47" s="1"/>
      <c r="H47" s="1">
        <f>SUM(OSRRefH22_6x_0)</f>
        <v>0</v>
      </c>
      <c r="I47" s="1"/>
      <c r="J47" s="5">
        <f t="shared" ref="J47:J65" si="25">IF(H$12=0,0,H47/H$12)</f>
        <v>0</v>
      </c>
      <c r="K47" s="1"/>
      <c r="L47" s="1">
        <f t="shared" ref="L47:L65" si="26">+D47-H47</f>
        <v>-21.81</v>
      </c>
      <c r="M47" s="1"/>
      <c r="N47" s="5">
        <f t="shared" ref="N47:N65" si="27">IF(H47=0,0,L47/H47)</f>
        <v>0</v>
      </c>
      <c r="O47" s="14"/>
      <c r="P47" s="1">
        <f>SUM(OSRRefP22_6x_0)</f>
        <v>-22.49</v>
      </c>
      <c r="Q47" s="1"/>
      <c r="R47" s="5">
        <f t="shared" ref="R47:R65" si="28">IF(P$12=0,0,P47/P$12)</f>
        <v>0</v>
      </c>
      <c r="S47" s="1"/>
      <c r="T47" s="1">
        <f>SUM(OSRRefT22_6x_0)</f>
        <v>0</v>
      </c>
      <c r="U47" s="1"/>
      <c r="V47" s="5">
        <f t="shared" ref="V47:V65" si="29">IF(T$12=0,0,T47/T$12)</f>
        <v>0</v>
      </c>
      <c r="W47" s="1"/>
      <c r="X47" s="1">
        <f t="shared" ref="X47:X65" si="30">+P47-T47</f>
        <v>-22.49</v>
      </c>
      <c r="Y47" s="1"/>
      <c r="Z47" s="5">
        <f t="shared" ref="Z47:Z65" si="31">IF(T47=0,0,X47/T47)</f>
        <v>0</v>
      </c>
    </row>
    <row r="48" spans="1:26" s="24" customFormat="1" hidden="1" outlineLevel="2" x14ac:dyDescent="0.3">
      <c r="A48" s="27"/>
      <c r="B48" s="11" t="str">
        <f>CONCATENATE("          ", "9175", " - ", "EARNED DISCOUNTS")</f>
        <v xml:space="preserve">          9175 - EARNED DISCOUNTS</v>
      </c>
      <c r="C48" s="11"/>
      <c r="D48" s="7">
        <v>-21.81</v>
      </c>
      <c r="E48" s="2"/>
      <c r="F48" s="8">
        <f t="shared" si="24"/>
        <v>0</v>
      </c>
      <c r="G48" s="2"/>
      <c r="H48" s="7"/>
      <c r="I48" s="2"/>
      <c r="J48" s="8">
        <f t="shared" si="25"/>
        <v>0</v>
      </c>
      <c r="K48" s="2"/>
      <c r="L48" s="7">
        <f t="shared" si="26"/>
        <v>-21.81</v>
      </c>
      <c r="M48" s="2"/>
      <c r="N48" s="8">
        <f t="shared" si="27"/>
        <v>0</v>
      </c>
      <c r="O48" s="11"/>
      <c r="P48" s="7">
        <v>-22.49</v>
      </c>
      <c r="Q48" s="2"/>
      <c r="R48" s="8">
        <f t="shared" si="28"/>
        <v>0</v>
      </c>
      <c r="S48" s="2"/>
      <c r="T48" s="7"/>
      <c r="U48" s="2"/>
      <c r="V48" s="8">
        <f t="shared" si="29"/>
        <v>0</v>
      </c>
      <c r="W48" s="2"/>
      <c r="X48" s="7">
        <f t="shared" si="30"/>
        <v>-22.49</v>
      </c>
      <c r="Y48" s="2"/>
      <c r="Z48" s="8">
        <f t="shared" si="31"/>
        <v>0</v>
      </c>
    </row>
    <row r="49" spans="1:26" s="28" customFormat="1" outlineLevel="1" collapsed="1" x14ac:dyDescent="0.3">
      <c r="A49" s="29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SUM(OSRRefD22_7x_0)</f>
        <v>400</v>
      </c>
      <c r="E49" s="1"/>
      <c r="F49" s="5">
        <f t="shared" si="24"/>
        <v>0</v>
      </c>
      <c r="G49" s="1"/>
      <c r="H49" s="1">
        <f>SUM(OSRRefH22_7x_0)</f>
        <v>0</v>
      </c>
      <c r="I49" s="1"/>
      <c r="J49" s="5">
        <f t="shared" si="25"/>
        <v>0</v>
      </c>
      <c r="K49" s="1"/>
      <c r="L49" s="1">
        <f t="shared" si="26"/>
        <v>400</v>
      </c>
      <c r="M49" s="1"/>
      <c r="N49" s="5">
        <f t="shared" si="27"/>
        <v>0</v>
      </c>
      <c r="O49" s="14"/>
      <c r="P49" s="1">
        <f>SUM(OSRRefP22_7x_0)</f>
        <v>720.92</v>
      </c>
      <c r="Q49" s="1"/>
      <c r="R49" s="5">
        <f t="shared" si="28"/>
        <v>0</v>
      </c>
      <c r="S49" s="1"/>
      <c r="T49" s="1">
        <f>SUM(OSRRefT22_7x_0)</f>
        <v>0</v>
      </c>
      <c r="U49" s="1"/>
      <c r="V49" s="5">
        <f t="shared" si="29"/>
        <v>0</v>
      </c>
      <c r="W49" s="1"/>
      <c r="X49" s="1">
        <f t="shared" si="30"/>
        <v>720.92</v>
      </c>
      <c r="Y49" s="1"/>
      <c r="Z49" s="5">
        <f t="shared" si="31"/>
        <v>0</v>
      </c>
    </row>
    <row r="50" spans="1:26" s="24" customFormat="1" hidden="1" outlineLevel="2" x14ac:dyDescent="0.3">
      <c r="A50" s="27"/>
      <c r="B50" s="11" t="str">
        <f>CONCATENATE("          ", "6277", " - ", "EMPLOYEE APPRECIATION")</f>
        <v xml:space="preserve">          6277 - EMPLOYEE APPRECIATION</v>
      </c>
      <c r="C50" s="11"/>
      <c r="D50" s="7">
        <v>400</v>
      </c>
      <c r="E50" s="2"/>
      <c r="F50" s="8">
        <f t="shared" si="24"/>
        <v>0</v>
      </c>
      <c r="G50" s="2"/>
      <c r="H50" s="7"/>
      <c r="I50" s="2"/>
      <c r="J50" s="8">
        <f t="shared" si="25"/>
        <v>0</v>
      </c>
      <c r="K50" s="2"/>
      <c r="L50" s="7">
        <f t="shared" si="26"/>
        <v>400</v>
      </c>
      <c r="M50" s="2"/>
      <c r="N50" s="8">
        <f t="shared" si="27"/>
        <v>0</v>
      </c>
      <c r="O50" s="11"/>
      <c r="P50" s="7">
        <v>720.92</v>
      </c>
      <c r="Q50" s="2"/>
      <c r="R50" s="8">
        <f t="shared" si="28"/>
        <v>0</v>
      </c>
      <c r="S50" s="2"/>
      <c r="T50" s="7"/>
      <c r="U50" s="2"/>
      <c r="V50" s="8">
        <f t="shared" si="29"/>
        <v>0</v>
      </c>
      <c r="W50" s="2"/>
      <c r="X50" s="7">
        <f t="shared" si="30"/>
        <v>720.92</v>
      </c>
      <c r="Y50" s="2"/>
      <c r="Z50" s="8">
        <f t="shared" si="31"/>
        <v>0</v>
      </c>
    </row>
    <row r="51" spans="1:26" s="28" customFormat="1" outlineLevel="1" collapsed="1" x14ac:dyDescent="0.3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SUM(OSRRefD22_8x_0)</f>
        <v>1006.83</v>
      </c>
      <c r="E51" s="1"/>
      <c r="F51" s="5">
        <f t="shared" si="24"/>
        <v>0</v>
      </c>
      <c r="G51" s="1"/>
      <c r="H51" s="1">
        <f>SUM(OSRRefH22_8x_0)</f>
        <v>91.26</v>
      </c>
      <c r="I51" s="1"/>
      <c r="J51" s="5">
        <f t="shared" si="25"/>
        <v>0</v>
      </c>
      <c r="K51" s="1"/>
      <c r="L51" s="1">
        <f t="shared" si="26"/>
        <v>915.57</v>
      </c>
      <c r="M51" s="1"/>
      <c r="N51" s="5">
        <f t="shared" si="27"/>
        <v>10.032544378698224</v>
      </c>
      <c r="O51" s="14"/>
      <c r="P51" s="1">
        <f>SUM(OSRRefP22_8x_0)</f>
        <v>1098.0899999999999</v>
      </c>
      <c r="Q51" s="1"/>
      <c r="R51" s="5">
        <f t="shared" si="28"/>
        <v>0</v>
      </c>
      <c r="S51" s="1"/>
      <c r="T51" s="1">
        <f>SUM(OSRRefT22_8x_0)</f>
        <v>182.52</v>
      </c>
      <c r="U51" s="1"/>
      <c r="V51" s="5">
        <f t="shared" si="29"/>
        <v>0</v>
      </c>
      <c r="W51" s="1"/>
      <c r="X51" s="1">
        <f t="shared" si="30"/>
        <v>915.56999999999994</v>
      </c>
      <c r="Y51" s="1"/>
      <c r="Z51" s="5">
        <f t="shared" si="31"/>
        <v>5.0162721893491122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1006.83</v>
      </c>
      <c r="E52" s="2"/>
      <c r="F52" s="8">
        <f t="shared" si="24"/>
        <v>0</v>
      </c>
      <c r="G52" s="2"/>
      <c r="H52" s="7">
        <v>91.26</v>
      </c>
      <c r="I52" s="2"/>
      <c r="J52" s="8">
        <f t="shared" si="25"/>
        <v>0</v>
      </c>
      <c r="K52" s="2"/>
      <c r="L52" s="7">
        <f t="shared" si="26"/>
        <v>915.57</v>
      </c>
      <c r="M52" s="2"/>
      <c r="N52" s="8">
        <f t="shared" si="27"/>
        <v>10.032544378698224</v>
      </c>
      <c r="O52" s="11"/>
      <c r="P52" s="7">
        <v>1098.0899999999999</v>
      </c>
      <c r="Q52" s="2"/>
      <c r="R52" s="8">
        <f t="shared" si="28"/>
        <v>0</v>
      </c>
      <c r="S52" s="2"/>
      <c r="T52" s="7">
        <v>182.52</v>
      </c>
      <c r="U52" s="2"/>
      <c r="V52" s="8">
        <f t="shared" si="29"/>
        <v>0</v>
      </c>
      <c r="W52" s="2"/>
      <c r="X52" s="7">
        <f t="shared" si="30"/>
        <v>915.56999999999994</v>
      </c>
      <c r="Y52" s="2"/>
      <c r="Z52" s="8">
        <f t="shared" si="31"/>
        <v>5.0162721893491122</v>
      </c>
    </row>
    <row r="53" spans="1:26" s="28" customFormat="1" outlineLevel="1" collapsed="1" x14ac:dyDescent="0.3">
      <c r="A53" s="29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SUM(OSRRefD22_9x_0)</f>
        <v>615.95000000000005</v>
      </c>
      <c r="E53" s="1"/>
      <c r="F53" s="5">
        <f t="shared" si="24"/>
        <v>0</v>
      </c>
      <c r="G53" s="1"/>
      <c r="H53" s="1">
        <f>SUM(OSRRefH22_9x_0)</f>
        <v>315.95</v>
      </c>
      <c r="I53" s="1"/>
      <c r="J53" s="5">
        <f t="shared" si="25"/>
        <v>0</v>
      </c>
      <c r="K53" s="1"/>
      <c r="L53" s="1">
        <f t="shared" si="26"/>
        <v>300.00000000000006</v>
      </c>
      <c r="M53" s="1"/>
      <c r="N53" s="5">
        <f t="shared" si="27"/>
        <v>0.94951732869124883</v>
      </c>
      <c r="O53" s="14"/>
      <c r="P53" s="1">
        <f>SUM(OSRRefP22_9x_0)</f>
        <v>931.9</v>
      </c>
      <c r="Q53" s="1"/>
      <c r="R53" s="5">
        <f t="shared" si="28"/>
        <v>0</v>
      </c>
      <c r="S53" s="1"/>
      <c r="T53" s="1">
        <f>SUM(OSRRefT22_9x_0)</f>
        <v>315.95</v>
      </c>
      <c r="U53" s="1"/>
      <c r="V53" s="5">
        <f t="shared" si="29"/>
        <v>0</v>
      </c>
      <c r="W53" s="1"/>
      <c r="X53" s="1">
        <f t="shared" si="30"/>
        <v>615.95000000000005</v>
      </c>
      <c r="Y53" s="1"/>
      <c r="Z53" s="5">
        <f t="shared" si="31"/>
        <v>1.9495173286912488</v>
      </c>
    </row>
    <row r="54" spans="1:26" s="24" customFormat="1" hidden="1" outlineLevel="2" x14ac:dyDescent="0.3">
      <c r="A54" s="27"/>
      <c r="B54" s="11" t="str">
        <f>CONCATENATE("          ", "6307", " - ", "POSTAGE")</f>
        <v xml:space="preserve">          6307 - POSTAGE</v>
      </c>
      <c r="C54" s="11"/>
      <c r="D54" s="7">
        <v>615.95000000000005</v>
      </c>
      <c r="E54" s="2"/>
      <c r="F54" s="8">
        <f t="shared" si="24"/>
        <v>0</v>
      </c>
      <c r="G54" s="2"/>
      <c r="H54" s="7">
        <v>315.95</v>
      </c>
      <c r="I54" s="2"/>
      <c r="J54" s="8">
        <f t="shared" si="25"/>
        <v>0</v>
      </c>
      <c r="K54" s="2"/>
      <c r="L54" s="7">
        <f t="shared" si="26"/>
        <v>300.00000000000006</v>
      </c>
      <c r="M54" s="2"/>
      <c r="N54" s="8">
        <f t="shared" si="27"/>
        <v>0.94951732869124883</v>
      </c>
      <c r="O54" s="11"/>
      <c r="P54" s="7">
        <v>931.9</v>
      </c>
      <c r="Q54" s="2"/>
      <c r="R54" s="8">
        <f t="shared" si="28"/>
        <v>0</v>
      </c>
      <c r="S54" s="2"/>
      <c r="T54" s="7">
        <v>315.95</v>
      </c>
      <c r="U54" s="2"/>
      <c r="V54" s="8">
        <f t="shared" si="29"/>
        <v>0</v>
      </c>
      <c r="W54" s="2"/>
      <c r="X54" s="7">
        <f t="shared" si="30"/>
        <v>615.95000000000005</v>
      </c>
      <c r="Y54" s="2"/>
      <c r="Z54" s="8">
        <f t="shared" si="31"/>
        <v>1.9495173286912488</v>
      </c>
    </row>
    <row r="55" spans="1:26" s="28" customFormat="1" outlineLevel="1" collapsed="1" x14ac:dyDescent="0.3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769.25</v>
      </c>
      <c r="E55" s="1"/>
      <c r="F55" s="5">
        <f t="shared" si="24"/>
        <v>0</v>
      </c>
      <c r="G55" s="1"/>
      <c r="H55" s="1">
        <f>SUM(OSRRefH22_10x_0)</f>
        <v>113.26</v>
      </c>
      <c r="I55" s="1"/>
      <c r="J55" s="5">
        <f t="shared" si="25"/>
        <v>0</v>
      </c>
      <c r="K55" s="1"/>
      <c r="L55" s="1">
        <f t="shared" si="26"/>
        <v>655.99</v>
      </c>
      <c r="M55" s="1"/>
      <c r="N55" s="5">
        <f t="shared" si="27"/>
        <v>5.7918947554299836</v>
      </c>
      <c r="O55" s="14"/>
      <c r="P55" s="1">
        <f>SUM(OSRRefP22_10x_0)</f>
        <v>1547.25</v>
      </c>
      <c r="Q55" s="1"/>
      <c r="R55" s="5">
        <f t="shared" si="28"/>
        <v>0</v>
      </c>
      <c r="S55" s="1"/>
      <c r="T55" s="1">
        <f>SUM(OSRRefT22_10x_0)</f>
        <v>867.81</v>
      </c>
      <c r="U55" s="1"/>
      <c r="V55" s="5">
        <f t="shared" si="29"/>
        <v>0</v>
      </c>
      <c r="W55" s="1"/>
      <c r="X55" s="1">
        <f t="shared" si="30"/>
        <v>679.44</v>
      </c>
      <c r="Y55" s="1"/>
      <c r="Z55" s="5">
        <f t="shared" si="31"/>
        <v>0.78293635703667863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7">
        <v>769.25</v>
      </c>
      <c r="E56" s="2"/>
      <c r="F56" s="8">
        <f t="shared" si="24"/>
        <v>0</v>
      </c>
      <c r="G56" s="2"/>
      <c r="H56" s="7">
        <v>113.26</v>
      </c>
      <c r="I56" s="2"/>
      <c r="J56" s="8">
        <f t="shared" si="25"/>
        <v>0</v>
      </c>
      <c r="K56" s="2"/>
      <c r="L56" s="7">
        <f t="shared" si="26"/>
        <v>655.99</v>
      </c>
      <c r="M56" s="2"/>
      <c r="N56" s="8">
        <f t="shared" si="27"/>
        <v>5.7918947554299836</v>
      </c>
      <c r="O56" s="11"/>
      <c r="P56" s="7">
        <v>1547.25</v>
      </c>
      <c r="Q56" s="2"/>
      <c r="R56" s="8">
        <f t="shared" si="28"/>
        <v>0</v>
      </c>
      <c r="S56" s="2"/>
      <c r="T56" s="7">
        <v>867.81</v>
      </c>
      <c r="U56" s="2"/>
      <c r="V56" s="8">
        <f t="shared" si="29"/>
        <v>0</v>
      </c>
      <c r="W56" s="2"/>
      <c r="X56" s="7">
        <f t="shared" si="30"/>
        <v>679.44</v>
      </c>
      <c r="Y56" s="2"/>
      <c r="Z56" s="8">
        <f t="shared" si="31"/>
        <v>0.78293635703667863</v>
      </c>
    </row>
    <row r="57" spans="1:26" s="28" customFormat="1" outlineLevel="1" collapsed="1" x14ac:dyDescent="0.3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5275.49</v>
      </c>
      <c r="E57" s="1"/>
      <c r="F57" s="5">
        <f t="shared" si="24"/>
        <v>0</v>
      </c>
      <c r="G57" s="1"/>
      <c r="H57" s="1">
        <f>SUM(OSRRefH22_11x_0)</f>
        <v>3883.56</v>
      </c>
      <c r="I57" s="1"/>
      <c r="J57" s="5">
        <f t="shared" si="25"/>
        <v>0</v>
      </c>
      <c r="K57" s="1"/>
      <c r="L57" s="1">
        <f t="shared" si="26"/>
        <v>1391.9299999999998</v>
      </c>
      <c r="M57" s="1"/>
      <c r="N57" s="5">
        <f t="shared" si="27"/>
        <v>0.35841598945297609</v>
      </c>
      <c r="O57" s="14"/>
      <c r="P57" s="1">
        <f>SUM(OSRRefP22_11x_0)</f>
        <v>10550.98</v>
      </c>
      <c r="Q57" s="1"/>
      <c r="R57" s="5">
        <f t="shared" si="28"/>
        <v>0</v>
      </c>
      <c r="S57" s="1"/>
      <c r="T57" s="1">
        <f>SUM(OSRRefT22_11x_0)</f>
        <v>7767.12</v>
      </c>
      <c r="U57" s="1"/>
      <c r="V57" s="5">
        <f t="shared" si="29"/>
        <v>0</v>
      </c>
      <c r="W57" s="1"/>
      <c r="X57" s="1">
        <f t="shared" si="30"/>
        <v>2783.8599999999997</v>
      </c>
      <c r="Y57" s="1"/>
      <c r="Z57" s="5">
        <f t="shared" si="31"/>
        <v>0.35841598945297609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7">
        <v>5275.49</v>
      </c>
      <c r="E58" s="2"/>
      <c r="F58" s="8">
        <f t="shared" si="24"/>
        <v>0</v>
      </c>
      <c r="G58" s="2"/>
      <c r="H58" s="7">
        <v>3883.56</v>
      </c>
      <c r="I58" s="2"/>
      <c r="J58" s="8">
        <f t="shared" si="25"/>
        <v>0</v>
      </c>
      <c r="K58" s="2"/>
      <c r="L58" s="7">
        <f t="shared" si="26"/>
        <v>1391.9299999999998</v>
      </c>
      <c r="M58" s="2"/>
      <c r="N58" s="8">
        <f t="shared" si="27"/>
        <v>0.35841598945297609</v>
      </c>
      <c r="O58" s="11"/>
      <c r="P58" s="7">
        <v>10550.98</v>
      </c>
      <c r="Q58" s="2"/>
      <c r="R58" s="8">
        <f t="shared" si="28"/>
        <v>0</v>
      </c>
      <c r="S58" s="2"/>
      <c r="T58" s="7">
        <v>7767.12</v>
      </c>
      <c r="U58" s="2"/>
      <c r="V58" s="8">
        <f t="shared" si="29"/>
        <v>0</v>
      </c>
      <c r="W58" s="2"/>
      <c r="X58" s="7">
        <f t="shared" si="30"/>
        <v>2783.8599999999997</v>
      </c>
      <c r="Y58" s="2"/>
      <c r="Z58" s="8">
        <f t="shared" si="31"/>
        <v>0.35841598945297609</v>
      </c>
    </row>
    <row r="59" spans="1:26" s="28" customFormat="1" outlineLevel="1" collapsed="1" x14ac:dyDescent="0.3">
      <c r="A59" s="29"/>
      <c r="B59" s="14" t="str">
        <f>CONCATENATE("     ","Rent                                              ")</f>
        <v xml:space="preserve">     Rent                                              </v>
      </c>
      <c r="C59" s="14"/>
      <c r="D59" s="1">
        <f>SUM(OSRRefD22_12x_0)</f>
        <v>-800</v>
      </c>
      <c r="E59" s="1"/>
      <c r="F59" s="5">
        <f t="shared" si="24"/>
        <v>0</v>
      </c>
      <c r="G59" s="1"/>
      <c r="H59" s="1">
        <f>SUM(OSRRefH22_12x_0)</f>
        <v>-800</v>
      </c>
      <c r="I59" s="1"/>
      <c r="J59" s="5">
        <f t="shared" si="25"/>
        <v>0</v>
      </c>
      <c r="K59" s="1"/>
      <c r="L59" s="1">
        <f t="shared" si="26"/>
        <v>0</v>
      </c>
      <c r="M59" s="1"/>
      <c r="N59" s="5">
        <f t="shared" si="27"/>
        <v>0</v>
      </c>
      <c r="O59" s="14"/>
      <c r="P59" s="1">
        <f>SUM(OSRRefP22_12x_0)</f>
        <v>-1600</v>
      </c>
      <c r="Q59" s="1"/>
      <c r="R59" s="5">
        <f t="shared" si="28"/>
        <v>0</v>
      </c>
      <c r="S59" s="1"/>
      <c r="T59" s="1">
        <f>SUM(OSRRefT22_12x_0)</f>
        <v>-1600</v>
      </c>
      <c r="U59" s="1"/>
      <c r="V59" s="5">
        <f t="shared" si="29"/>
        <v>0</v>
      </c>
      <c r="W59" s="1"/>
      <c r="X59" s="1">
        <f t="shared" si="30"/>
        <v>0</v>
      </c>
      <c r="Y59" s="1"/>
      <c r="Z59" s="5">
        <f t="shared" si="31"/>
        <v>0</v>
      </c>
    </row>
    <row r="60" spans="1:26" s="24" customFormat="1" hidden="1" outlineLevel="2" x14ac:dyDescent="0.3">
      <c r="A60" s="27"/>
      <c r="B60" s="11" t="str">
        <f>CONCATENATE("          ", "6273", " - ", "RENT")</f>
        <v xml:space="preserve">          6273 - RENT</v>
      </c>
      <c r="C60" s="11"/>
      <c r="D60" s="7">
        <v>-800</v>
      </c>
      <c r="E60" s="2"/>
      <c r="F60" s="8">
        <f t="shared" si="24"/>
        <v>0</v>
      </c>
      <c r="G60" s="2"/>
      <c r="H60" s="7">
        <v>-800</v>
      </c>
      <c r="I60" s="2"/>
      <c r="J60" s="8">
        <f t="shared" si="25"/>
        <v>0</v>
      </c>
      <c r="K60" s="2"/>
      <c r="L60" s="7">
        <f t="shared" si="26"/>
        <v>0</v>
      </c>
      <c r="M60" s="2"/>
      <c r="N60" s="8">
        <f t="shared" si="27"/>
        <v>0</v>
      </c>
      <c r="O60" s="11"/>
      <c r="P60" s="7">
        <v>-1600</v>
      </c>
      <c r="Q60" s="2"/>
      <c r="R60" s="8">
        <f t="shared" si="28"/>
        <v>0</v>
      </c>
      <c r="S60" s="2"/>
      <c r="T60" s="7">
        <v>-1600</v>
      </c>
      <c r="U60" s="2"/>
      <c r="V60" s="8">
        <f t="shared" si="29"/>
        <v>0</v>
      </c>
      <c r="W60" s="2"/>
      <c r="X60" s="7">
        <f t="shared" si="30"/>
        <v>0</v>
      </c>
      <c r="Y60" s="2"/>
      <c r="Z60" s="8">
        <f t="shared" si="31"/>
        <v>0</v>
      </c>
    </row>
    <row r="61" spans="1:26" s="28" customFormat="1" outlineLevel="1" collapsed="1" x14ac:dyDescent="0.3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SUM(OSRRefD22_13x_0)</f>
        <v>5377.0499999999993</v>
      </c>
      <c r="E61" s="1"/>
      <c r="F61" s="5">
        <f t="shared" si="24"/>
        <v>0</v>
      </c>
      <c r="G61" s="1"/>
      <c r="H61" s="1">
        <f>SUM(OSRRefH22_13x_0)</f>
        <v>1401.3999999999999</v>
      </c>
      <c r="I61" s="1"/>
      <c r="J61" s="5">
        <f t="shared" si="25"/>
        <v>0</v>
      </c>
      <c r="K61" s="1"/>
      <c r="L61" s="1">
        <f t="shared" si="26"/>
        <v>3975.6499999999996</v>
      </c>
      <c r="M61" s="1"/>
      <c r="N61" s="5">
        <f t="shared" si="27"/>
        <v>2.836913086913087</v>
      </c>
      <c r="O61" s="14"/>
      <c r="P61" s="1">
        <f>SUM(OSRRefP22_13x_0)</f>
        <v>64893.27</v>
      </c>
      <c r="Q61" s="1"/>
      <c r="R61" s="5">
        <f t="shared" si="28"/>
        <v>0</v>
      </c>
      <c r="S61" s="1"/>
      <c r="T61" s="1">
        <f>SUM(OSRRefT22_13x_0)</f>
        <v>61348.210000000006</v>
      </c>
      <c r="U61" s="1"/>
      <c r="V61" s="5">
        <f t="shared" si="29"/>
        <v>0</v>
      </c>
      <c r="W61" s="1"/>
      <c r="X61" s="1">
        <f t="shared" si="30"/>
        <v>3545.0599999999904</v>
      </c>
      <c r="Y61" s="1"/>
      <c r="Z61" s="5">
        <f t="shared" si="31"/>
        <v>5.7785875089101865E-2</v>
      </c>
    </row>
    <row r="62" spans="1:26" s="24" customFormat="1" hidden="1" outlineLevel="2" x14ac:dyDescent="0.3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8">
        <f t="shared" si="24"/>
        <v>0</v>
      </c>
      <c r="G62" s="2"/>
      <c r="H62" s="7"/>
      <c r="I62" s="2"/>
      <c r="J62" s="8">
        <f t="shared" si="25"/>
        <v>0</v>
      </c>
      <c r="K62" s="2"/>
      <c r="L62" s="7">
        <f t="shared" si="26"/>
        <v>0</v>
      </c>
      <c r="M62" s="2"/>
      <c r="N62" s="8">
        <f t="shared" si="27"/>
        <v>0</v>
      </c>
      <c r="O62" s="11"/>
      <c r="P62" s="7">
        <v>56736</v>
      </c>
      <c r="Q62" s="2"/>
      <c r="R62" s="8">
        <f t="shared" si="28"/>
        <v>0</v>
      </c>
      <c r="S62" s="2"/>
      <c r="T62" s="7">
        <v>58428.78</v>
      </c>
      <c r="U62" s="2"/>
      <c r="V62" s="8">
        <f t="shared" si="29"/>
        <v>0</v>
      </c>
      <c r="W62" s="2"/>
      <c r="X62" s="7">
        <f t="shared" si="30"/>
        <v>-1692.7799999999988</v>
      </c>
      <c r="Y62" s="2"/>
      <c r="Z62" s="8">
        <f t="shared" si="31"/>
        <v>-2.8971681421381703E-2</v>
      </c>
    </row>
    <row r="63" spans="1:26" s="24" customFormat="1" hidden="1" outlineLevel="2" x14ac:dyDescent="0.3">
      <c r="A63" s="27"/>
      <c r="B63" s="11" t="str">
        <f>CONCATENATE("          ", "6372", " - ", "COMPUTER HARDWARE MAINTENANCE")</f>
        <v xml:space="preserve">          6372 - COMPUTER HARDWARE MAINTENANCE</v>
      </c>
      <c r="C63" s="11"/>
      <c r="D63" s="7"/>
      <c r="E63" s="2"/>
      <c r="F63" s="8">
        <f t="shared" si="24"/>
        <v>0</v>
      </c>
      <c r="G63" s="2"/>
      <c r="H63" s="7">
        <v>0.98</v>
      </c>
      <c r="I63" s="2"/>
      <c r="J63" s="8">
        <f t="shared" si="25"/>
        <v>0</v>
      </c>
      <c r="K63" s="2"/>
      <c r="L63" s="7">
        <f t="shared" si="26"/>
        <v>-0.98</v>
      </c>
      <c r="M63" s="2"/>
      <c r="N63" s="8">
        <f t="shared" si="27"/>
        <v>-1</v>
      </c>
      <c r="O63" s="11"/>
      <c r="P63" s="7"/>
      <c r="Q63" s="2"/>
      <c r="R63" s="8">
        <f t="shared" si="28"/>
        <v>0</v>
      </c>
      <c r="S63" s="2"/>
      <c r="T63" s="7">
        <v>0.98</v>
      </c>
      <c r="U63" s="2"/>
      <c r="V63" s="8">
        <f t="shared" si="29"/>
        <v>0</v>
      </c>
      <c r="W63" s="2"/>
      <c r="X63" s="7">
        <f t="shared" si="30"/>
        <v>-0.98</v>
      </c>
      <c r="Y63" s="2"/>
      <c r="Z63" s="8">
        <f t="shared" si="31"/>
        <v>-1</v>
      </c>
    </row>
    <row r="64" spans="1:26" s="24" customFormat="1" hidden="1" outlineLevel="2" x14ac:dyDescent="0.3">
      <c r="A64" s="27"/>
      <c r="B64" s="11" t="str">
        <f>CONCATENATE("          ", "6373", " - ", "MAINTENANCE CONTRACTS")</f>
        <v xml:space="preserve">          6373 - MAINTENANCE CONTRACTS</v>
      </c>
      <c r="C64" s="11"/>
      <c r="D64" s="7">
        <v>5948.98</v>
      </c>
      <c r="E64" s="2"/>
      <c r="F64" s="8">
        <f t="shared" si="24"/>
        <v>0</v>
      </c>
      <c r="G64" s="2"/>
      <c r="H64" s="7">
        <v>1066.5999999999999</v>
      </c>
      <c r="I64" s="2"/>
      <c r="J64" s="8">
        <f t="shared" si="25"/>
        <v>0</v>
      </c>
      <c r="K64" s="2"/>
      <c r="L64" s="7">
        <f t="shared" si="26"/>
        <v>4882.3799999999992</v>
      </c>
      <c r="M64" s="2"/>
      <c r="N64" s="8">
        <f t="shared" si="27"/>
        <v>4.5775173448340514</v>
      </c>
      <c r="O64" s="11"/>
      <c r="P64" s="7">
        <v>5965.24</v>
      </c>
      <c r="Q64" s="2"/>
      <c r="R64" s="8">
        <f t="shared" si="28"/>
        <v>0</v>
      </c>
      <c r="S64" s="2"/>
      <c r="T64" s="7">
        <v>1081.6500000000001</v>
      </c>
      <c r="U64" s="2"/>
      <c r="V64" s="8">
        <f t="shared" si="29"/>
        <v>0</v>
      </c>
      <c r="W64" s="2"/>
      <c r="X64" s="7">
        <f t="shared" si="30"/>
        <v>4883.59</v>
      </c>
      <c r="Y64" s="2"/>
      <c r="Z64" s="8">
        <f t="shared" si="31"/>
        <v>4.5149447603198816</v>
      </c>
    </row>
    <row r="65" spans="1:26" s="24" customFormat="1" hidden="1" outlineLevel="2" x14ac:dyDescent="0.3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7">
        <v>-571.92999999999995</v>
      </c>
      <c r="E65" s="2"/>
      <c r="F65" s="8">
        <f t="shared" si="24"/>
        <v>0</v>
      </c>
      <c r="G65" s="2"/>
      <c r="H65" s="7">
        <v>333.82</v>
      </c>
      <c r="I65" s="2"/>
      <c r="J65" s="8">
        <f t="shared" si="25"/>
        <v>0</v>
      </c>
      <c r="K65" s="2"/>
      <c r="L65" s="7">
        <f t="shared" si="26"/>
        <v>-905.75</v>
      </c>
      <c r="M65" s="2"/>
      <c r="N65" s="8">
        <f t="shared" si="27"/>
        <v>-2.7132885986459767</v>
      </c>
      <c r="O65" s="11"/>
      <c r="P65" s="7">
        <v>2192.0300000000002</v>
      </c>
      <c r="Q65" s="2"/>
      <c r="R65" s="8">
        <f t="shared" si="28"/>
        <v>0</v>
      </c>
      <c r="S65" s="2"/>
      <c r="T65" s="7">
        <v>1836.8</v>
      </c>
      <c r="U65" s="2"/>
      <c r="V65" s="8">
        <f t="shared" si="29"/>
        <v>0</v>
      </c>
      <c r="W65" s="2"/>
      <c r="X65" s="7">
        <f t="shared" si="30"/>
        <v>355.23000000000025</v>
      </c>
      <c r="Y65" s="2"/>
      <c r="Z65" s="8">
        <f t="shared" si="31"/>
        <v>0.19339612369337994</v>
      </c>
    </row>
    <row r="66" spans="1:26" s="28" customFormat="1" outlineLevel="1" collapsed="1" x14ac:dyDescent="0.3">
      <c r="A66" s="29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SUM(OSRRefD22_14x_0)</f>
        <v>10494.52</v>
      </c>
      <c r="E66" s="1"/>
      <c r="F66" s="5">
        <f t="shared" ref="F66:F69" si="32">IF(D$12=0,0,D66/D$12)</f>
        <v>0</v>
      </c>
      <c r="G66" s="1"/>
      <c r="H66" s="1">
        <f>SUM(OSRRefH22_14x_0)</f>
        <v>295.94</v>
      </c>
      <c r="I66" s="1"/>
      <c r="J66" s="5">
        <f t="shared" ref="J66:J69" si="33">IF(H$12=0,0,H66/H$12)</f>
        <v>0</v>
      </c>
      <c r="K66" s="1"/>
      <c r="L66" s="1">
        <f t="shared" ref="L66:L69" si="34">+D66-H66</f>
        <v>10198.58</v>
      </c>
      <c r="M66" s="1"/>
      <c r="N66" s="5">
        <f t="shared" ref="N66:N69" si="35">IF(H66=0,0,L66/H66)</f>
        <v>34.461647631276612</v>
      </c>
      <c r="O66" s="14"/>
      <c r="P66" s="1">
        <f>SUM(OSRRefP22_14x_0)</f>
        <v>14345.25</v>
      </c>
      <c r="Q66" s="1"/>
      <c r="R66" s="5">
        <f t="shared" ref="R66:R69" si="36">IF(P$12=0,0,P66/P$12)</f>
        <v>0</v>
      </c>
      <c r="S66" s="1"/>
      <c r="T66" s="1">
        <f>SUM(OSRRefT22_14x_0)</f>
        <v>4626.6200000000008</v>
      </c>
      <c r="U66" s="1"/>
      <c r="V66" s="5">
        <f t="shared" ref="V66:V69" si="37">IF(T$12=0,0,T66/T$12)</f>
        <v>0</v>
      </c>
      <c r="W66" s="1"/>
      <c r="X66" s="1">
        <f t="shared" ref="X66:X69" si="38">+P66-T66</f>
        <v>9718.6299999999992</v>
      </c>
      <c r="Y66" s="1"/>
      <c r="Z66" s="5">
        <f t="shared" ref="Z66:Z69" si="39">IF(T66=0,0,X66/T66)</f>
        <v>2.1005896313075199</v>
      </c>
    </row>
    <row r="67" spans="1:26" s="24" customFormat="1" hidden="1" outlineLevel="2" x14ac:dyDescent="0.3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291</v>
      </c>
      <c r="E67" s="2"/>
      <c r="F67" s="8">
        <f t="shared" si="32"/>
        <v>0</v>
      </c>
      <c r="G67" s="2"/>
      <c r="H67" s="7">
        <v>295.94</v>
      </c>
      <c r="I67" s="2"/>
      <c r="J67" s="8">
        <f t="shared" si="33"/>
        <v>0</v>
      </c>
      <c r="K67" s="2"/>
      <c r="L67" s="7">
        <f t="shared" si="34"/>
        <v>-4.9399999999999977</v>
      </c>
      <c r="M67" s="2"/>
      <c r="N67" s="8">
        <f t="shared" si="35"/>
        <v>-1.6692572818814616E-2</v>
      </c>
      <c r="O67" s="11"/>
      <c r="P67" s="7">
        <v>291</v>
      </c>
      <c r="Q67" s="2"/>
      <c r="R67" s="8">
        <f t="shared" si="36"/>
        <v>0</v>
      </c>
      <c r="S67" s="2"/>
      <c r="T67" s="7">
        <v>388.44</v>
      </c>
      <c r="U67" s="2"/>
      <c r="V67" s="8">
        <f t="shared" si="37"/>
        <v>0</v>
      </c>
      <c r="W67" s="2"/>
      <c r="X67" s="7">
        <f t="shared" si="38"/>
        <v>-97.44</v>
      </c>
      <c r="Y67" s="2"/>
      <c r="Z67" s="8">
        <f t="shared" si="39"/>
        <v>-0.25084955205437132</v>
      </c>
    </row>
    <row r="68" spans="1:26" s="24" customFormat="1" hidden="1" outlineLevel="2" x14ac:dyDescent="0.3">
      <c r="A68" s="27"/>
      <c r="B68" s="11" t="str">
        <f>CONCATENATE("          ", "6283", " - ", "PLANT SERVICE")</f>
        <v xml:space="preserve">          6283 - PLANT SERVICE</v>
      </c>
      <c r="C68" s="11"/>
      <c r="D68" s="7"/>
      <c r="E68" s="2"/>
      <c r="F68" s="8">
        <f t="shared" si="32"/>
        <v>0</v>
      </c>
      <c r="G68" s="2"/>
      <c r="H68" s="7"/>
      <c r="I68" s="2"/>
      <c r="J68" s="8">
        <f t="shared" si="33"/>
        <v>0</v>
      </c>
      <c r="K68" s="2"/>
      <c r="L68" s="7">
        <f t="shared" si="34"/>
        <v>0</v>
      </c>
      <c r="M68" s="2"/>
      <c r="N68" s="8">
        <f t="shared" si="35"/>
        <v>0</v>
      </c>
      <c r="O68" s="11"/>
      <c r="P68" s="7"/>
      <c r="Q68" s="2"/>
      <c r="R68" s="8">
        <f t="shared" si="36"/>
        <v>0</v>
      </c>
      <c r="S68" s="2"/>
      <c r="T68" s="7">
        <v>130</v>
      </c>
      <c r="U68" s="2"/>
      <c r="V68" s="8">
        <f t="shared" si="37"/>
        <v>0</v>
      </c>
      <c r="W68" s="2"/>
      <c r="X68" s="7">
        <f t="shared" si="38"/>
        <v>-130</v>
      </c>
      <c r="Y68" s="2"/>
      <c r="Z68" s="8">
        <f t="shared" si="39"/>
        <v>-1</v>
      </c>
    </row>
    <row r="69" spans="1:26" s="24" customFormat="1" hidden="1" outlineLevel="2" x14ac:dyDescent="0.3">
      <c r="A69" s="27"/>
      <c r="B69" s="11" t="str">
        <f>CONCATENATE("          ", "6285", " - ", "JANITORIAL SERVICES")</f>
        <v xml:space="preserve">          6285 - JANITORIAL SERVICES</v>
      </c>
      <c r="C69" s="11"/>
      <c r="D69" s="7">
        <v>10203.52</v>
      </c>
      <c r="E69" s="2"/>
      <c r="F69" s="8">
        <f t="shared" si="32"/>
        <v>0</v>
      </c>
      <c r="G69" s="2"/>
      <c r="H69" s="7"/>
      <c r="I69" s="2"/>
      <c r="J69" s="8">
        <f t="shared" si="33"/>
        <v>0</v>
      </c>
      <c r="K69" s="2"/>
      <c r="L69" s="7">
        <f t="shared" si="34"/>
        <v>10203.52</v>
      </c>
      <c r="M69" s="2"/>
      <c r="N69" s="8">
        <f t="shared" si="35"/>
        <v>0</v>
      </c>
      <c r="O69" s="11"/>
      <c r="P69" s="7">
        <v>14054.25</v>
      </c>
      <c r="Q69" s="2"/>
      <c r="R69" s="8">
        <f t="shared" si="36"/>
        <v>0</v>
      </c>
      <c r="S69" s="2"/>
      <c r="T69" s="7">
        <v>4108.18</v>
      </c>
      <c r="U69" s="2"/>
      <c r="V69" s="8">
        <f t="shared" si="37"/>
        <v>0</v>
      </c>
      <c r="W69" s="2"/>
      <c r="X69" s="7">
        <f t="shared" si="38"/>
        <v>9946.07</v>
      </c>
      <c r="Y69" s="2"/>
      <c r="Z69" s="8">
        <f t="shared" si="39"/>
        <v>2.4210404607393055</v>
      </c>
    </row>
    <row r="70" spans="1:26" s="28" customFormat="1" outlineLevel="1" collapsed="1" x14ac:dyDescent="0.3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SUM(OSRRefD22_15x_0)</f>
        <v>4373.46</v>
      </c>
      <c r="E70" s="1"/>
      <c r="F70" s="5">
        <f t="shared" ref="F70:F75" si="40">IF(D$12=0,0,D70/D$12)</f>
        <v>0</v>
      </c>
      <c r="G70" s="1"/>
      <c r="H70" s="1">
        <f>SUM(OSRRefH22_15x_0)</f>
        <v>2488.9299999999998</v>
      </c>
      <c r="I70" s="1"/>
      <c r="J70" s="5">
        <f t="shared" ref="J70:J75" si="41">IF(H$12=0,0,H70/H$12)</f>
        <v>0</v>
      </c>
      <c r="K70" s="1"/>
      <c r="L70" s="1">
        <f t="shared" ref="L70:L75" si="42">+D70-H70</f>
        <v>1884.5300000000002</v>
      </c>
      <c r="M70" s="1"/>
      <c r="N70" s="5">
        <f t="shared" ref="N70:N75" si="43">IF(H70=0,0,L70/H70)</f>
        <v>0.75716472540408941</v>
      </c>
      <c r="O70" s="14"/>
      <c r="P70" s="1">
        <f>SUM(OSRRefP22_15x_0)</f>
        <v>5454.37</v>
      </c>
      <c r="Q70" s="1"/>
      <c r="R70" s="5">
        <f t="shared" ref="R70:R75" si="44">IF(P$12=0,0,P70/P$12)</f>
        <v>0</v>
      </c>
      <c r="S70" s="1"/>
      <c r="T70" s="1">
        <f>SUM(OSRRefT22_15x_0)</f>
        <v>7474.92</v>
      </c>
      <c r="U70" s="1"/>
      <c r="V70" s="5">
        <f t="shared" ref="V70:V75" si="45">IF(T$12=0,0,T70/T$12)</f>
        <v>0</v>
      </c>
      <c r="W70" s="1"/>
      <c r="X70" s="1">
        <f t="shared" ref="X70:X75" si="46">+P70-T70</f>
        <v>-2020.5500000000002</v>
      </c>
      <c r="Y70" s="1"/>
      <c r="Z70" s="5">
        <f t="shared" ref="Z70:Z75" si="47">IF(T70=0,0,X70/T70)</f>
        <v>-0.27031058526378882</v>
      </c>
    </row>
    <row r="71" spans="1:26" s="24" customFormat="1" hidden="1" outlineLevel="2" x14ac:dyDescent="0.3">
      <c r="A71" s="27"/>
      <c r="B71" s="11" t="str">
        <f>CONCATENATE("          ", "6235", " - ", "COVID-19 EXPENSES")</f>
        <v xml:space="preserve">          6235 - COVID-19 EXPENSES</v>
      </c>
      <c r="C71" s="11"/>
      <c r="D71" s="7">
        <v>2695.61</v>
      </c>
      <c r="E71" s="2"/>
      <c r="F71" s="8">
        <f t="shared" si="40"/>
        <v>0</v>
      </c>
      <c r="G71" s="2"/>
      <c r="H71" s="7">
        <v>621.78</v>
      </c>
      <c r="I71" s="2"/>
      <c r="J71" s="8">
        <f t="shared" si="41"/>
        <v>0</v>
      </c>
      <c r="K71" s="2"/>
      <c r="L71" s="7">
        <f t="shared" si="42"/>
        <v>2073.83</v>
      </c>
      <c r="M71" s="2"/>
      <c r="N71" s="8">
        <f t="shared" si="43"/>
        <v>3.3353115249766798</v>
      </c>
      <c r="O71" s="11"/>
      <c r="P71" s="7">
        <v>2967.83</v>
      </c>
      <c r="Q71" s="2"/>
      <c r="R71" s="8">
        <f t="shared" si="44"/>
        <v>0</v>
      </c>
      <c r="S71" s="2"/>
      <c r="T71" s="7">
        <v>4917.3</v>
      </c>
      <c r="U71" s="2"/>
      <c r="V71" s="8">
        <f t="shared" si="45"/>
        <v>0</v>
      </c>
      <c r="W71" s="2"/>
      <c r="X71" s="7">
        <f t="shared" si="46"/>
        <v>-1949.4700000000003</v>
      </c>
      <c r="Y71" s="2"/>
      <c r="Z71" s="8">
        <f t="shared" si="47"/>
        <v>-0.39645130457771544</v>
      </c>
    </row>
    <row r="72" spans="1:26" s="24" customFormat="1" hidden="1" outlineLevel="2" x14ac:dyDescent="0.3">
      <c r="A72" s="27"/>
      <c r="B72" s="11" t="str">
        <f>CONCATENATE("          ", "6237", " - ", "JANITORIAL SUPPLIES")</f>
        <v xml:space="preserve">          6237 - JANITORIAL SUPPLIES</v>
      </c>
      <c r="C72" s="11"/>
      <c r="D72" s="7">
        <v>1092.55</v>
      </c>
      <c r="E72" s="2"/>
      <c r="F72" s="8">
        <f t="shared" si="40"/>
        <v>0</v>
      </c>
      <c r="G72" s="2"/>
      <c r="H72" s="7"/>
      <c r="I72" s="2"/>
      <c r="J72" s="8">
        <f t="shared" si="41"/>
        <v>0</v>
      </c>
      <c r="K72" s="2"/>
      <c r="L72" s="7">
        <f t="shared" si="42"/>
        <v>1092.55</v>
      </c>
      <c r="M72" s="2"/>
      <c r="N72" s="8">
        <f t="shared" si="43"/>
        <v>0</v>
      </c>
      <c r="O72" s="11"/>
      <c r="P72" s="7">
        <v>1748.52</v>
      </c>
      <c r="Q72" s="2"/>
      <c r="R72" s="8">
        <f t="shared" si="44"/>
        <v>0</v>
      </c>
      <c r="S72" s="2"/>
      <c r="T72" s="7"/>
      <c r="U72" s="2"/>
      <c r="V72" s="8">
        <f t="shared" si="45"/>
        <v>0</v>
      </c>
      <c r="W72" s="2"/>
      <c r="X72" s="7">
        <f t="shared" si="46"/>
        <v>1748.52</v>
      </c>
      <c r="Y72" s="2"/>
      <c r="Z72" s="8">
        <f t="shared" si="47"/>
        <v>0</v>
      </c>
    </row>
    <row r="73" spans="1:26" s="24" customFormat="1" hidden="1" outlineLevel="2" x14ac:dyDescent="0.3">
      <c r="A73" s="27"/>
      <c r="B73" s="11" t="str">
        <f>CONCATENATE("          ", "6241", " - ", "OFFICE EXPENSE")</f>
        <v xml:space="preserve">          6241 - OFFICE EXPENSE</v>
      </c>
      <c r="C73" s="11"/>
      <c r="D73" s="7">
        <v>98.44</v>
      </c>
      <c r="E73" s="2"/>
      <c r="F73" s="8">
        <f t="shared" si="40"/>
        <v>0</v>
      </c>
      <c r="G73" s="2"/>
      <c r="H73" s="7">
        <v>1807.76</v>
      </c>
      <c r="I73" s="2"/>
      <c r="J73" s="8">
        <f t="shared" si="41"/>
        <v>0</v>
      </c>
      <c r="K73" s="2"/>
      <c r="L73" s="7">
        <f t="shared" si="42"/>
        <v>-1709.32</v>
      </c>
      <c r="M73" s="2"/>
      <c r="N73" s="8">
        <f t="shared" si="43"/>
        <v>-0.94554586892065318</v>
      </c>
      <c r="O73" s="11"/>
      <c r="P73" s="7">
        <v>103.78</v>
      </c>
      <c r="Q73" s="2"/>
      <c r="R73" s="8">
        <f t="shared" si="44"/>
        <v>0</v>
      </c>
      <c r="S73" s="2"/>
      <c r="T73" s="7">
        <v>2030.13</v>
      </c>
      <c r="U73" s="2"/>
      <c r="V73" s="8">
        <f t="shared" si="45"/>
        <v>0</v>
      </c>
      <c r="W73" s="2"/>
      <c r="X73" s="7">
        <f t="shared" si="46"/>
        <v>-1926.3500000000001</v>
      </c>
      <c r="Y73" s="2"/>
      <c r="Z73" s="8">
        <f t="shared" si="47"/>
        <v>-0.94888012097747432</v>
      </c>
    </row>
    <row r="74" spans="1:26" s="24" customFormat="1" hidden="1" outlineLevel="2" x14ac:dyDescent="0.3">
      <c r="A74" s="27"/>
      <c r="B74" s="11" t="str">
        <f>CONCATENATE("          ", "6245", " - ", "PRINTING")</f>
        <v xml:space="preserve">          6245 - PRINTING</v>
      </c>
      <c r="C74" s="11"/>
      <c r="D74" s="7">
        <v>335.32</v>
      </c>
      <c r="E74" s="2"/>
      <c r="F74" s="8">
        <f t="shared" si="40"/>
        <v>0</v>
      </c>
      <c r="G74" s="2"/>
      <c r="H74" s="7"/>
      <c r="I74" s="2"/>
      <c r="J74" s="8">
        <f t="shared" si="41"/>
        <v>0</v>
      </c>
      <c r="K74" s="2"/>
      <c r="L74" s="7">
        <f t="shared" si="42"/>
        <v>335.32</v>
      </c>
      <c r="M74" s="2"/>
      <c r="N74" s="8">
        <f t="shared" si="43"/>
        <v>0</v>
      </c>
      <c r="O74" s="11"/>
      <c r="P74" s="7">
        <v>335.32</v>
      </c>
      <c r="Q74" s="2"/>
      <c r="R74" s="8">
        <f t="shared" si="44"/>
        <v>0</v>
      </c>
      <c r="S74" s="2"/>
      <c r="T74" s="7"/>
      <c r="U74" s="2"/>
      <c r="V74" s="8">
        <f t="shared" si="45"/>
        <v>0</v>
      </c>
      <c r="W74" s="2"/>
      <c r="X74" s="7">
        <f t="shared" si="46"/>
        <v>335.32</v>
      </c>
      <c r="Y74" s="2"/>
      <c r="Z74" s="8">
        <f t="shared" si="47"/>
        <v>0</v>
      </c>
    </row>
    <row r="75" spans="1:26" s="24" customFormat="1" hidden="1" outlineLevel="2" x14ac:dyDescent="0.3">
      <c r="A75" s="27"/>
      <c r="B75" s="11" t="str">
        <f>CONCATENATE("          ", "6247", " - ", "STORE SUPPLIES")</f>
        <v xml:space="preserve">          6247 - STORE SUPPLIES</v>
      </c>
      <c r="C75" s="11"/>
      <c r="D75" s="7">
        <v>151.54</v>
      </c>
      <c r="E75" s="2"/>
      <c r="F75" s="8">
        <f t="shared" si="40"/>
        <v>0</v>
      </c>
      <c r="G75" s="2"/>
      <c r="H75" s="7">
        <v>59.39</v>
      </c>
      <c r="I75" s="2"/>
      <c r="J75" s="8">
        <f t="shared" si="41"/>
        <v>0</v>
      </c>
      <c r="K75" s="2"/>
      <c r="L75" s="7">
        <f t="shared" si="42"/>
        <v>92.149999999999991</v>
      </c>
      <c r="M75" s="2"/>
      <c r="N75" s="8">
        <f t="shared" si="43"/>
        <v>1.5516080148173093</v>
      </c>
      <c r="O75" s="11"/>
      <c r="P75" s="7">
        <v>298.92</v>
      </c>
      <c r="Q75" s="2"/>
      <c r="R75" s="8">
        <f t="shared" si="44"/>
        <v>0</v>
      </c>
      <c r="S75" s="2"/>
      <c r="T75" s="7">
        <v>527.49</v>
      </c>
      <c r="U75" s="2"/>
      <c r="V75" s="8">
        <f t="shared" si="45"/>
        <v>0</v>
      </c>
      <c r="W75" s="2"/>
      <c r="X75" s="7">
        <f t="shared" si="46"/>
        <v>-228.57</v>
      </c>
      <c r="Y75" s="2"/>
      <c r="Z75" s="8">
        <f t="shared" si="47"/>
        <v>-0.43331627139850992</v>
      </c>
    </row>
    <row r="76" spans="1:26" s="28" customFormat="1" outlineLevel="1" collapsed="1" x14ac:dyDescent="0.3">
      <c r="A76" s="29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SUM(OSRRefD22_16x_0)</f>
        <v>537.5</v>
      </c>
      <c r="E76" s="1"/>
      <c r="F76" s="5">
        <f t="shared" ref="F76:F82" si="48">IF(D$12=0,0,D76/D$12)</f>
        <v>0</v>
      </c>
      <c r="G76" s="1"/>
      <c r="H76" s="1">
        <f>SUM(OSRRefH22_16x_0)</f>
        <v>607.41</v>
      </c>
      <c r="I76" s="1"/>
      <c r="J76" s="5">
        <f t="shared" ref="J76:J82" si="49">IF(H$12=0,0,H76/H$12)</f>
        <v>0</v>
      </c>
      <c r="K76" s="1"/>
      <c r="L76" s="1">
        <f t="shared" ref="L76:L82" si="50">+D76-H76</f>
        <v>-69.909999999999968</v>
      </c>
      <c r="M76" s="1"/>
      <c r="N76" s="5">
        <f t="shared" ref="N76:N82" si="51">IF(H76=0,0,L76/H76)</f>
        <v>-0.11509524044714439</v>
      </c>
      <c r="O76" s="14"/>
      <c r="P76" s="1">
        <f>SUM(OSRRefP22_16x_0)</f>
        <v>1050.8499999999999</v>
      </c>
      <c r="Q76" s="1"/>
      <c r="R76" s="5">
        <f t="shared" ref="R76:R82" si="52">IF(P$12=0,0,P76/P$12)</f>
        <v>0</v>
      </c>
      <c r="S76" s="1"/>
      <c r="T76" s="1">
        <f>SUM(OSRRefT22_16x_0)</f>
        <v>1174.6199999999999</v>
      </c>
      <c r="U76" s="1"/>
      <c r="V76" s="5">
        <f t="shared" ref="V76:V82" si="53">IF(T$12=0,0,T76/T$12)</f>
        <v>0</v>
      </c>
      <c r="W76" s="1"/>
      <c r="X76" s="1">
        <f t="shared" ref="X76:X82" si="54">+P76-T76</f>
        <v>-123.76999999999998</v>
      </c>
      <c r="Y76" s="1"/>
      <c r="Z76" s="5">
        <f t="shared" ref="Z76:Z82" si="55">IF(T76=0,0,X76/T76)</f>
        <v>-0.10537024739915887</v>
      </c>
    </row>
    <row r="77" spans="1:26" s="24" customFormat="1" hidden="1" outlineLevel="2" x14ac:dyDescent="0.3">
      <c r="A77" s="27"/>
      <c r="B77" s="11" t="str">
        <f>CONCATENATE("          ", "6309", " - ", "TELEPHONE")</f>
        <v xml:space="preserve">          6309 - TELEPHONE</v>
      </c>
      <c r="C77" s="11"/>
      <c r="D77" s="7">
        <v>537.5</v>
      </c>
      <c r="E77" s="2"/>
      <c r="F77" s="8">
        <f t="shared" si="48"/>
        <v>0</v>
      </c>
      <c r="G77" s="2"/>
      <c r="H77" s="7">
        <v>607.41</v>
      </c>
      <c r="I77" s="2"/>
      <c r="J77" s="8">
        <f t="shared" si="49"/>
        <v>0</v>
      </c>
      <c r="K77" s="2"/>
      <c r="L77" s="7">
        <f t="shared" si="50"/>
        <v>-69.909999999999968</v>
      </c>
      <c r="M77" s="2"/>
      <c r="N77" s="8">
        <f t="shared" si="51"/>
        <v>-0.11509524044714439</v>
      </c>
      <c r="O77" s="11"/>
      <c r="P77" s="7">
        <v>1050.8499999999999</v>
      </c>
      <c r="Q77" s="2"/>
      <c r="R77" s="8">
        <f t="shared" si="52"/>
        <v>0</v>
      </c>
      <c r="S77" s="2"/>
      <c r="T77" s="7">
        <v>1174.6199999999999</v>
      </c>
      <c r="U77" s="2"/>
      <c r="V77" s="8">
        <f t="shared" si="53"/>
        <v>0</v>
      </c>
      <c r="W77" s="2"/>
      <c r="X77" s="7">
        <f t="shared" si="54"/>
        <v>-123.76999999999998</v>
      </c>
      <c r="Y77" s="2"/>
      <c r="Z77" s="8">
        <f t="shared" si="55"/>
        <v>-0.10537024739915887</v>
      </c>
    </row>
    <row r="78" spans="1:26" s="28" customFormat="1" outlineLevel="1" collapsed="1" x14ac:dyDescent="0.3">
      <c r="A78" s="29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SUM(OSRRefD22_17x_0)</f>
        <v>0</v>
      </c>
      <c r="E78" s="1"/>
      <c r="F78" s="5">
        <f t="shared" si="48"/>
        <v>0</v>
      </c>
      <c r="G78" s="1"/>
      <c r="H78" s="1">
        <f>SUM(OSRRefH22_17x_0)</f>
        <v>0</v>
      </c>
      <c r="I78" s="1"/>
      <c r="J78" s="5">
        <f t="shared" si="49"/>
        <v>0</v>
      </c>
      <c r="K78" s="1"/>
      <c r="L78" s="1">
        <f t="shared" si="50"/>
        <v>0</v>
      </c>
      <c r="M78" s="1"/>
      <c r="N78" s="5">
        <f t="shared" si="51"/>
        <v>0</v>
      </c>
      <c r="O78" s="14"/>
      <c r="P78" s="1">
        <f>SUM(OSRRefP22_17x_0)</f>
        <v>0</v>
      </c>
      <c r="Q78" s="1"/>
      <c r="R78" s="5">
        <f t="shared" si="52"/>
        <v>0</v>
      </c>
      <c r="S78" s="1"/>
      <c r="T78" s="1">
        <f>SUM(OSRRefT22_17x_0)</f>
        <v>131.63</v>
      </c>
      <c r="U78" s="1"/>
      <c r="V78" s="5">
        <f t="shared" si="53"/>
        <v>0</v>
      </c>
      <c r="W78" s="1"/>
      <c r="X78" s="1">
        <f t="shared" si="54"/>
        <v>-131.63</v>
      </c>
      <c r="Y78" s="1"/>
      <c r="Z78" s="5">
        <f t="shared" si="55"/>
        <v>-1</v>
      </c>
    </row>
    <row r="79" spans="1:26" s="24" customFormat="1" hidden="1" outlineLevel="2" x14ac:dyDescent="0.3">
      <c r="A79" s="27"/>
      <c r="B79" s="11" t="str">
        <f>CONCATENATE("          ", "6376", " - ", "TRAINING")</f>
        <v xml:space="preserve">          6376 - TRAINING</v>
      </c>
      <c r="C79" s="11"/>
      <c r="D79" s="7"/>
      <c r="E79" s="2"/>
      <c r="F79" s="8">
        <f t="shared" si="48"/>
        <v>0</v>
      </c>
      <c r="G79" s="2"/>
      <c r="H79" s="7"/>
      <c r="I79" s="2"/>
      <c r="J79" s="8">
        <f t="shared" si="49"/>
        <v>0</v>
      </c>
      <c r="K79" s="2"/>
      <c r="L79" s="7">
        <f t="shared" si="50"/>
        <v>0</v>
      </c>
      <c r="M79" s="2"/>
      <c r="N79" s="8">
        <f t="shared" si="51"/>
        <v>0</v>
      </c>
      <c r="O79" s="11"/>
      <c r="P79" s="7"/>
      <c r="Q79" s="2"/>
      <c r="R79" s="8">
        <f t="shared" si="52"/>
        <v>0</v>
      </c>
      <c r="S79" s="2"/>
      <c r="T79" s="7">
        <v>131.63</v>
      </c>
      <c r="U79" s="2"/>
      <c r="V79" s="8">
        <f t="shared" si="53"/>
        <v>0</v>
      </c>
      <c r="W79" s="2"/>
      <c r="X79" s="7">
        <f t="shared" si="54"/>
        <v>-131.63</v>
      </c>
      <c r="Y79" s="2"/>
      <c r="Z79" s="8">
        <f t="shared" si="55"/>
        <v>-1</v>
      </c>
    </row>
    <row r="80" spans="1:26" s="28" customFormat="1" outlineLevel="1" collapsed="1" x14ac:dyDescent="0.3">
      <c r="A80" s="29"/>
      <c r="B80" s="14" t="str">
        <f>CONCATENATE("     ","Travel                                            ")</f>
        <v xml:space="preserve">     Travel                                            </v>
      </c>
      <c r="C80" s="14"/>
      <c r="D80" s="1">
        <f>SUM(OSRRefD22_18x_0)</f>
        <v>0</v>
      </c>
      <c r="E80" s="1"/>
      <c r="F80" s="5">
        <f t="shared" si="48"/>
        <v>0</v>
      </c>
      <c r="G80" s="1"/>
      <c r="H80" s="1">
        <f>SUM(OSRRefH22_18x_0)</f>
        <v>0</v>
      </c>
      <c r="I80" s="1"/>
      <c r="J80" s="5">
        <f t="shared" si="49"/>
        <v>0</v>
      </c>
      <c r="K80" s="1"/>
      <c r="L80" s="1">
        <f t="shared" si="50"/>
        <v>0</v>
      </c>
      <c r="M80" s="1"/>
      <c r="N80" s="5">
        <f t="shared" si="51"/>
        <v>0</v>
      </c>
      <c r="O80" s="14"/>
      <c r="P80" s="1">
        <f>SUM(OSRRefP22_18x_0)</f>
        <v>495</v>
      </c>
      <c r="Q80" s="1"/>
      <c r="R80" s="5">
        <f t="shared" si="52"/>
        <v>0</v>
      </c>
      <c r="S80" s="1"/>
      <c r="T80" s="1">
        <f>SUM(OSRRefT22_18x_0)</f>
        <v>59.89</v>
      </c>
      <c r="U80" s="1"/>
      <c r="V80" s="5">
        <f t="shared" si="53"/>
        <v>0</v>
      </c>
      <c r="W80" s="1"/>
      <c r="X80" s="1">
        <f t="shared" si="54"/>
        <v>435.11</v>
      </c>
      <c r="Y80" s="1"/>
      <c r="Z80" s="5">
        <f t="shared" si="55"/>
        <v>7.2651527800968445</v>
      </c>
    </row>
    <row r="81" spans="1:26" s="24" customFormat="1" hidden="1" outlineLevel="2" x14ac:dyDescent="0.3">
      <c r="A81" s="27"/>
      <c r="B81" s="11" t="str">
        <f>CONCATENATE("          ", "6292", " - ", "TRAVEL/CONFERENCE")</f>
        <v xml:space="preserve">          6292 - TRAVEL/CONFERENCE</v>
      </c>
      <c r="C81" s="11"/>
      <c r="D81" s="7"/>
      <c r="E81" s="2"/>
      <c r="F81" s="8">
        <f t="shared" si="48"/>
        <v>0</v>
      </c>
      <c r="G81" s="2"/>
      <c r="H81" s="7"/>
      <c r="I81" s="2"/>
      <c r="J81" s="8">
        <f t="shared" si="49"/>
        <v>0</v>
      </c>
      <c r="K81" s="2"/>
      <c r="L81" s="7">
        <f t="shared" si="50"/>
        <v>0</v>
      </c>
      <c r="M81" s="2"/>
      <c r="N81" s="8">
        <f t="shared" si="51"/>
        <v>0</v>
      </c>
      <c r="O81" s="11"/>
      <c r="P81" s="7">
        <v>495</v>
      </c>
      <c r="Q81" s="2"/>
      <c r="R81" s="8">
        <f t="shared" si="52"/>
        <v>0</v>
      </c>
      <c r="S81" s="2"/>
      <c r="T81" s="7"/>
      <c r="U81" s="2"/>
      <c r="V81" s="8">
        <f t="shared" si="53"/>
        <v>0</v>
      </c>
      <c r="W81" s="2"/>
      <c r="X81" s="7">
        <f t="shared" si="54"/>
        <v>495</v>
      </c>
      <c r="Y81" s="2"/>
      <c r="Z81" s="8">
        <f t="shared" si="55"/>
        <v>0</v>
      </c>
    </row>
    <row r="82" spans="1:26" s="24" customFormat="1" hidden="1" outlineLevel="2" x14ac:dyDescent="0.3">
      <c r="A82" s="27"/>
      <c r="B82" s="11" t="str">
        <f>CONCATENATE("          ", "6298", " - ", "VEHICLE MILEAGE")</f>
        <v xml:space="preserve">          6298 - VEHICLE MILEAGE</v>
      </c>
      <c r="C82" s="11"/>
      <c r="D82" s="7"/>
      <c r="E82" s="2"/>
      <c r="F82" s="8">
        <f t="shared" si="48"/>
        <v>0</v>
      </c>
      <c r="G82" s="2"/>
      <c r="H82" s="7"/>
      <c r="I82" s="2"/>
      <c r="J82" s="8">
        <f t="shared" si="49"/>
        <v>0</v>
      </c>
      <c r="K82" s="2"/>
      <c r="L82" s="7">
        <f t="shared" si="50"/>
        <v>0</v>
      </c>
      <c r="M82" s="2"/>
      <c r="N82" s="8">
        <f t="shared" si="51"/>
        <v>0</v>
      </c>
      <c r="O82" s="11"/>
      <c r="P82" s="7"/>
      <c r="Q82" s="2"/>
      <c r="R82" s="8">
        <f t="shared" si="52"/>
        <v>0</v>
      </c>
      <c r="S82" s="2"/>
      <c r="T82" s="7">
        <v>59.89</v>
      </c>
      <c r="U82" s="2"/>
      <c r="V82" s="8">
        <f t="shared" si="53"/>
        <v>0</v>
      </c>
      <c r="W82" s="2"/>
      <c r="X82" s="7">
        <f t="shared" si="54"/>
        <v>-59.89</v>
      </c>
      <c r="Y82" s="2"/>
      <c r="Z82" s="8">
        <f t="shared" si="55"/>
        <v>-1</v>
      </c>
    </row>
    <row r="83" spans="1:26" s="28" customFormat="1" outlineLevel="1" collapsed="1" x14ac:dyDescent="0.3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SUM(OSRRefD22_19x_0)</f>
        <v>6000</v>
      </c>
      <c r="E83" s="1"/>
      <c r="F83" s="5">
        <f t="shared" ref="F83:F84" si="56">IF(D$12=0,0,D83/D$12)</f>
        <v>0</v>
      </c>
      <c r="G83" s="1"/>
      <c r="H83" s="1">
        <f>SUM(OSRRefH22_19x_0)</f>
        <v>6133</v>
      </c>
      <c r="I83" s="1"/>
      <c r="J83" s="5">
        <f t="shared" ref="J83:J84" si="57">IF(H$12=0,0,H83/H$12)</f>
        <v>0</v>
      </c>
      <c r="K83" s="1"/>
      <c r="L83" s="1">
        <f t="shared" ref="L83:L84" si="58">+D83-H83</f>
        <v>-133</v>
      </c>
      <c r="M83" s="1"/>
      <c r="N83" s="5">
        <f t="shared" ref="N83:N84" si="59">IF(H83=0,0,L83/H83)</f>
        <v>-2.1685961193543126E-2</v>
      </c>
      <c r="O83" s="14"/>
      <c r="P83" s="1">
        <f>SUM(OSRRefP22_19x_0)</f>
        <v>12000</v>
      </c>
      <c r="Q83" s="1"/>
      <c r="R83" s="5">
        <f t="shared" ref="R83:R84" si="60">IF(P$12=0,0,P83/P$12)</f>
        <v>0</v>
      </c>
      <c r="S83" s="1"/>
      <c r="T83" s="1">
        <f>SUM(OSRRefT22_19x_0)</f>
        <v>12266</v>
      </c>
      <c r="U83" s="1"/>
      <c r="V83" s="5">
        <f t="shared" ref="V83:V84" si="61">IF(T$12=0,0,T83/T$12)</f>
        <v>0</v>
      </c>
      <c r="W83" s="1"/>
      <c r="X83" s="1">
        <f t="shared" ref="X83:X84" si="62">+P83-T83</f>
        <v>-266</v>
      </c>
      <c r="Y83" s="1"/>
      <c r="Z83" s="5">
        <f t="shared" ref="Z83:Z84" si="63">IF(T83=0,0,X83/T83)</f>
        <v>-2.1685961193543126E-2</v>
      </c>
    </row>
    <row r="84" spans="1:26" s="24" customFormat="1" hidden="1" outlineLevel="2" x14ac:dyDescent="0.3">
      <c r="A84" s="27"/>
      <c r="B84" s="11" t="str">
        <f>CONCATENATE("          ", "6274", " - ", "UTILITIES")</f>
        <v xml:space="preserve">          6274 - UTILITIES</v>
      </c>
      <c r="C84" s="11"/>
      <c r="D84" s="7">
        <v>6000</v>
      </c>
      <c r="E84" s="2"/>
      <c r="F84" s="8">
        <f t="shared" si="56"/>
        <v>0</v>
      </c>
      <c r="G84" s="2"/>
      <c r="H84" s="7">
        <v>6133</v>
      </c>
      <c r="I84" s="2"/>
      <c r="J84" s="8">
        <f t="shared" si="57"/>
        <v>0</v>
      </c>
      <c r="K84" s="2"/>
      <c r="L84" s="7">
        <f t="shared" si="58"/>
        <v>-133</v>
      </c>
      <c r="M84" s="2"/>
      <c r="N84" s="8">
        <f t="shared" si="59"/>
        <v>-2.1685961193543126E-2</v>
      </c>
      <c r="O84" s="11"/>
      <c r="P84" s="7">
        <v>12000</v>
      </c>
      <c r="Q84" s="2"/>
      <c r="R84" s="8">
        <f t="shared" si="60"/>
        <v>0</v>
      </c>
      <c r="S84" s="2"/>
      <c r="T84" s="7">
        <v>12266</v>
      </c>
      <c r="U84" s="2"/>
      <c r="V84" s="8">
        <f t="shared" si="61"/>
        <v>0</v>
      </c>
      <c r="W84" s="2"/>
      <c r="X84" s="7">
        <f t="shared" si="62"/>
        <v>-266</v>
      </c>
      <c r="Y84" s="2"/>
      <c r="Z84" s="8">
        <f t="shared" si="63"/>
        <v>-2.1685961193543126E-2</v>
      </c>
    </row>
    <row r="85" spans="1:26" s="61" customFormat="1" x14ac:dyDescent="0.3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3">
      <c r="A86" s="10"/>
      <c r="B86" s="26" t="s">
        <v>292</v>
      </c>
      <c r="C86" s="10"/>
      <c r="D86" s="4">
        <f>SUM(OSRRefD25x_0)</f>
        <v>59022</v>
      </c>
      <c r="E86" s="4"/>
      <c r="F86" s="12">
        <f t="shared" ref="F86:F87" si="64">IF(D$12=0,0,D86/D$12)</f>
        <v>0</v>
      </c>
      <c r="G86" s="4"/>
      <c r="H86" s="4">
        <f>SUM(OSRRefH25x_0)</f>
        <v>48195.62</v>
      </c>
      <c r="I86" s="4"/>
      <c r="J86" s="12">
        <f t="shared" ref="J86:J87" si="65">IF(H$12=0,0,H86/H$12)</f>
        <v>0</v>
      </c>
      <c r="K86" s="4"/>
      <c r="L86" s="4">
        <f t="shared" ref="L86:L87" si="66">+D86-H86</f>
        <v>10826.379999999997</v>
      </c>
      <c r="M86" s="4"/>
      <c r="N86" s="12">
        <f t="shared" ref="N86:N87" si="67">IF(H86=0,0,L86/H86)</f>
        <v>0.22463410575483825</v>
      </c>
      <c r="O86" s="10"/>
      <c r="P86" s="4">
        <f>SUM(OSRRefP25x_0)</f>
        <v>62948.89</v>
      </c>
      <c r="Q86" s="4"/>
      <c r="R86" s="12">
        <f t="shared" ref="R86:R87" si="68">IF(P$12=0,0,P86/P$12)</f>
        <v>0</v>
      </c>
      <c r="S86" s="4"/>
      <c r="T86" s="4">
        <f>SUM(OSRRefT25x_0)</f>
        <v>65220.93</v>
      </c>
      <c r="U86" s="4"/>
      <c r="V86" s="12">
        <f t="shared" ref="V86:V87" si="69">IF(T$12=0,0,T86/T$12)</f>
        <v>0</v>
      </c>
      <c r="W86" s="4"/>
      <c r="X86" s="4">
        <f t="shared" ref="X86:X87" si="70">+P86-T86</f>
        <v>-2272.0400000000009</v>
      </c>
      <c r="Y86" s="4"/>
      <c r="Z86" s="12">
        <f t="shared" ref="Z86:Z87" si="71">IF(T86=0,0,X86/T86)</f>
        <v>-3.483605646224304E-2</v>
      </c>
    </row>
    <row r="87" spans="1:26" s="24" customFormat="1" hidden="1" outlineLevel="1" x14ac:dyDescent="0.3">
      <c r="A87" s="44"/>
      <c r="B87" s="11" t="str">
        <f>CONCATENATE("          ", "9150", " - ", "MISC. INCOME")</f>
        <v xml:space="preserve">          9150 - MISC. INCOME</v>
      </c>
      <c r="C87" s="11"/>
      <c r="D87" s="2">
        <f>--59022</f>
        <v>59022</v>
      </c>
      <c r="E87" s="2"/>
      <c r="F87" s="19">
        <f t="shared" si="64"/>
        <v>0</v>
      </c>
      <c r="G87" s="2"/>
      <c r="H87" s="2">
        <f>--48195.62</f>
        <v>48195.62</v>
      </c>
      <c r="I87" s="2"/>
      <c r="J87" s="19">
        <f t="shared" si="65"/>
        <v>0</v>
      </c>
      <c r="K87" s="2"/>
      <c r="L87" s="2">
        <f t="shared" si="66"/>
        <v>10826.379999999997</v>
      </c>
      <c r="M87" s="2"/>
      <c r="N87" s="19">
        <f t="shared" si="67"/>
        <v>0.22463410575483825</v>
      </c>
      <c r="O87" s="11"/>
      <c r="P87" s="2">
        <f>--62948.89</f>
        <v>62948.89</v>
      </c>
      <c r="Q87" s="2"/>
      <c r="R87" s="19">
        <f t="shared" si="68"/>
        <v>0</v>
      </c>
      <c r="S87" s="2"/>
      <c r="T87" s="2">
        <f>--65220.93</f>
        <v>65220.93</v>
      </c>
      <c r="U87" s="2"/>
      <c r="V87" s="19">
        <f t="shared" si="69"/>
        <v>0</v>
      </c>
      <c r="W87" s="2"/>
      <c r="X87" s="2">
        <f t="shared" si="70"/>
        <v>-2272.0400000000009</v>
      </c>
      <c r="Y87" s="2"/>
      <c r="Z87" s="19">
        <f t="shared" si="71"/>
        <v>-3.483605646224304E-2</v>
      </c>
    </row>
    <row r="88" spans="1:26" x14ac:dyDescent="0.3">
      <c r="A88" s="9"/>
      <c r="B88" s="10"/>
      <c r="C88" s="10"/>
      <c r="D88" s="3"/>
      <c r="E88" s="3"/>
      <c r="F88" s="6"/>
      <c r="G88" s="3"/>
      <c r="H88" s="3"/>
      <c r="I88" s="3"/>
      <c r="J88" s="6"/>
      <c r="K88" s="3"/>
      <c r="L88" s="3"/>
      <c r="M88" s="3"/>
      <c r="N88" s="6"/>
      <c r="O88" s="10"/>
      <c r="P88" s="3"/>
      <c r="Q88" s="3"/>
      <c r="R88" s="6"/>
      <c r="S88" s="3"/>
      <c r="T88" s="3"/>
      <c r="U88" s="3"/>
      <c r="V88" s="6"/>
      <c r="W88" s="3"/>
      <c r="X88" s="3"/>
      <c r="Y88" s="3"/>
      <c r="Z88" s="6"/>
    </row>
    <row r="89" spans="1:26" s="23" customFormat="1" x14ac:dyDescent="0.3">
      <c r="A89" s="10"/>
      <c r="B89" s="25" t="s">
        <v>276</v>
      </c>
      <c r="C89" s="25"/>
      <c r="D89" s="20">
        <f>+D16-D18+D86</f>
        <v>-107631.49000000002</v>
      </c>
      <c r="E89" s="13"/>
      <c r="F89" s="22">
        <f>IF(D$12=0,0,D89/D$12)</f>
        <v>0</v>
      </c>
      <c r="G89" s="13"/>
      <c r="H89" s="20">
        <f>+H16-H18+H86</f>
        <v>-93767.040000000037</v>
      </c>
      <c r="I89" s="13"/>
      <c r="J89" s="22">
        <f>IF(H$12=0,0,H89/H$12)</f>
        <v>0</v>
      </c>
      <c r="K89" s="15"/>
      <c r="L89" s="20">
        <f>+D89-H89</f>
        <v>-13864.449999999983</v>
      </c>
      <c r="M89" s="15"/>
      <c r="N89" s="22">
        <f>IF(H89=0,0,L89/H89)</f>
        <v>0.14786059152555073</v>
      </c>
      <c r="O89" s="26"/>
      <c r="P89" s="20">
        <f>+P16-P18+P86</f>
        <v>-283379.52000000008</v>
      </c>
      <c r="Q89" s="13"/>
      <c r="R89" s="22">
        <f>IF(P$12=0,0,P89/P$12)</f>
        <v>0</v>
      </c>
      <c r="S89" s="13"/>
      <c r="T89" s="20">
        <f>+T16-T18+T86</f>
        <v>-242158.43</v>
      </c>
      <c r="U89" s="13"/>
      <c r="V89" s="22">
        <f>IF(T$12=0,0,T89/T$12)</f>
        <v>0</v>
      </c>
      <c r="W89" s="15"/>
      <c r="X89" s="20">
        <f>+P89-T89</f>
        <v>-41221.090000000084</v>
      </c>
      <c r="Y89" s="15"/>
      <c r="Z89" s="22">
        <f>IF(T89=0,0,X89/T89)</f>
        <v>0.17022364243111457</v>
      </c>
    </row>
    <row r="90" spans="1:26" x14ac:dyDescent="0.3">
      <c r="A90" s="9"/>
      <c r="B90" s="10"/>
      <c r="C90" s="9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x14ac:dyDescent="0.3">
      <c r="A91" s="51"/>
      <c r="B91" s="10" t="s">
        <v>127</v>
      </c>
      <c r="C91" s="10"/>
      <c r="D91" s="4"/>
      <c r="E91" s="4"/>
      <c r="F91" s="12">
        <f>IF(D$12=0,0,D91/D$12)</f>
        <v>0</v>
      </c>
      <c r="G91" s="4"/>
      <c r="H91" s="4"/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/>
      <c r="Q91" s="4"/>
      <c r="R91" s="12">
        <f>IF(P$12=0,0,P91/P$12)</f>
        <v>0</v>
      </c>
      <c r="S91" s="4"/>
      <c r="T91" s="4"/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3">
      <c r="A92" s="9"/>
      <c r="B92" s="10"/>
      <c r="C92" s="10"/>
      <c r="D92" s="3"/>
      <c r="E92" s="3"/>
      <c r="F92" s="6"/>
      <c r="G92" s="3"/>
      <c r="H92" s="3"/>
      <c r="I92" s="3"/>
      <c r="J92" s="6"/>
      <c r="K92" s="3"/>
      <c r="L92" s="3"/>
      <c r="M92" s="3"/>
      <c r="N92" s="6"/>
      <c r="O92" s="10"/>
      <c r="P92" s="3"/>
      <c r="Q92" s="3"/>
      <c r="R92" s="6"/>
      <c r="S92" s="3"/>
      <c r="T92" s="3"/>
      <c r="U92" s="3"/>
      <c r="V92" s="6"/>
      <c r="W92" s="3"/>
      <c r="X92" s="3"/>
      <c r="Y92" s="3"/>
      <c r="Z92" s="6"/>
    </row>
    <row r="93" spans="1:26" s="23" customFormat="1" ht="15" thickBot="1" x14ac:dyDescent="0.35">
      <c r="A93" s="10"/>
      <c r="B93" s="25" t="s">
        <v>125</v>
      </c>
      <c r="C93" s="25"/>
      <c r="D93" s="33">
        <f>+D89-D91</f>
        <v>-107631.49000000002</v>
      </c>
      <c r="E93" s="13"/>
      <c r="F93" s="36">
        <f>IF(D$12=0,0,D93/D$12)</f>
        <v>0</v>
      </c>
      <c r="G93" s="13"/>
      <c r="H93" s="33">
        <f>+H89-H91</f>
        <v>-93767.040000000037</v>
      </c>
      <c r="I93" s="13"/>
      <c r="J93" s="36">
        <f>IF(H$12=0,0,H93/H$12)</f>
        <v>0</v>
      </c>
      <c r="K93" s="15"/>
      <c r="L93" s="33">
        <f>D93-H93</f>
        <v>-13864.449999999983</v>
      </c>
      <c r="M93" s="15"/>
      <c r="N93" s="36">
        <f>IF(H93=0,0,L93/H93)</f>
        <v>0.14786059152555073</v>
      </c>
      <c r="O93" s="26"/>
      <c r="P93" s="33">
        <f>+P89-P91</f>
        <v>-283379.52000000008</v>
      </c>
      <c r="Q93" s="13"/>
      <c r="R93" s="36">
        <f>IF(P$12=0,0,P93/P$12)</f>
        <v>0</v>
      </c>
      <c r="S93" s="13"/>
      <c r="T93" s="33">
        <f>+T89-T91</f>
        <v>-242158.43</v>
      </c>
      <c r="U93" s="13"/>
      <c r="V93" s="36">
        <f>IF(T$12=0,0,T93/T$12)</f>
        <v>0</v>
      </c>
      <c r="W93" s="15"/>
      <c r="X93" s="33">
        <f>P93-T93</f>
        <v>-41221.090000000084</v>
      </c>
      <c r="Y93" s="15"/>
      <c r="Z93" s="36">
        <f>IF(T93=0,0,X93/T93)</f>
        <v>0.17022364243111457</v>
      </c>
    </row>
    <row r="94" spans="1:26" ht="15" thickTop="1" x14ac:dyDescent="0.3">
      <c r="A94" s="9"/>
      <c r="B94" s="9"/>
      <c r="C94" s="9"/>
      <c r="D94" s="3"/>
      <c r="E94" s="3"/>
      <c r="F94" s="6"/>
      <c r="G94" s="3"/>
      <c r="H94" s="3"/>
      <c r="I94" s="3"/>
      <c r="J94" s="6"/>
      <c r="K94" s="3"/>
      <c r="L94" s="3"/>
      <c r="M94" s="3"/>
      <c r="N94" s="6"/>
      <c r="P94" s="3"/>
      <c r="Q94" s="3"/>
      <c r="R94" s="6"/>
      <c r="S94" s="3"/>
      <c r="T94" s="3"/>
      <c r="U94" s="3"/>
      <c r="V94" s="6"/>
      <c r="W94" s="3"/>
      <c r="X94" s="3"/>
      <c r="Y94" s="3"/>
      <c r="Z94" s="6"/>
    </row>
    <row r="95" spans="1:26" x14ac:dyDescent="0.3">
      <c r="A95" s="9"/>
      <c r="B95" s="9"/>
      <c r="C95" s="9"/>
      <c r="D95" s="3"/>
      <c r="E95" s="3"/>
      <c r="F95" s="6"/>
      <c r="G95" s="3"/>
      <c r="H95" s="3"/>
      <c r="I95" s="3"/>
      <c r="J95" s="6"/>
      <c r="K95" s="3"/>
      <c r="L95" s="3"/>
      <c r="M95" s="3"/>
      <c r="N95" s="6"/>
      <c r="P95" s="3"/>
      <c r="Q95" s="3"/>
      <c r="R95" s="6"/>
      <c r="S95" s="3"/>
      <c r="T95" s="3"/>
      <c r="U95" s="3"/>
      <c r="V95" s="6"/>
      <c r="W95" s="3"/>
      <c r="X95" s="3"/>
      <c r="Y95" s="3"/>
      <c r="Z95" s="6"/>
    </row>
    <row r="96" spans="1:26" s="23" customFormat="1" ht="15" thickBot="1" x14ac:dyDescent="0.35">
      <c r="A96" s="10"/>
      <c r="B96" s="25" t="s">
        <v>293</v>
      </c>
      <c r="C96" s="25"/>
      <c r="D96" s="30">
        <f>SUM(D93:D95)</f>
        <v>-107631.49000000002</v>
      </c>
      <c r="E96" s="13"/>
      <c r="F96" s="31">
        <f>IF(D$12=0,0,D96/D$12)</f>
        <v>0</v>
      </c>
      <c r="G96" s="13"/>
      <c r="H96" s="30">
        <f>SUM(H93:H95)</f>
        <v>-93767.040000000037</v>
      </c>
      <c r="I96" s="13"/>
      <c r="J96" s="31">
        <f>IF(H$12=0,0,H96/H$12)</f>
        <v>0</v>
      </c>
      <c r="K96" s="15"/>
      <c r="L96" s="30">
        <f>+D96-H96</f>
        <v>-13864.449999999983</v>
      </c>
      <c r="M96" s="15"/>
      <c r="N96" s="31">
        <f>IF(H96=0,0,L96/H96)</f>
        <v>0.14786059152555073</v>
      </c>
      <c r="O96" s="26"/>
      <c r="P96" s="30">
        <f>SUM(P93:P95)</f>
        <v>-283379.52000000008</v>
      </c>
      <c r="Q96" s="13"/>
      <c r="R96" s="31">
        <f>IF(P$12=0,0,P96/P$12)</f>
        <v>0</v>
      </c>
      <c r="S96" s="13"/>
      <c r="T96" s="30">
        <f>SUM(T93:T95)</f>
        <v>-242158.43</v>
      </c>
      <c r="U96" s="13"/>
      <c r="V96" s="31">
        <f>IF(T$12=0,0,T96/T$12)</f>
        <v>0</v>
      </c>
      <c r="W96" s="15"/>
      <c r="X96" s="30">
        <f>+P96-T96</f>
        <v>-41221.090000000084</v>
      </c>
      <c r="Y96" s="15"/>
      <c r="Z96" s="31">
        <f>IF(T96=0,0,X96/T96)</f>
        <v>0.17022364243111457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59">
        <v>44470.840542939812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A100" s="9"/>
      <c r="B100" s="52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3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80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16514.54</v>
      </c>
      <c r="E12" s="4"/>
      <c r="F12" s="12"/>
      <c r="G12" s="4"/>
      <c r="H12" s="4">
        <f>SUM(OSRRefH13x_0)</f>
        <v>12397.94</v>
      </c>
      <c r="I12" s="4"/>
      <c r="J12" s="12"/>
      <c r="K12" s="4"/>
      <c r="L12" s="4">
        <f t="shared" ref="L12:L25" si="0">+D12-H12</f>
        <v>4116.6000000000004</v>
      </c>
      <c r="M12" s="4"/>
      <c r="N12" s="12">
        <f t="shared" ref="N12:N25" si="1">IF(H12=0,0,L12/H12)</f>
        <v>0.33203903229084836</v>
      </c>
      <c r="O12" s="10"/>
      <c r="P12" s="4">
        <f>SUM(OSRRefP13x_0)</f>
        <v>16514.54</v>
      </c>
      <c r="Q12" s="4"/>
      <c r="R12" s="12"/>
      <c r="S12" s="4"/>
      <c r="T12" s="4">
        <f>SUM(OSRRefT13x_0)</f>
        <v>12397.94</v>
      </c>
      <c r="U12" s="4"/>
      <c r="V12" s="12"/>
      <c r="W12" s="4"/>
      <c r="X12" s="4">
        <f t="shared" ref="X12:X25" si="2">+P12-T12</f>
        <v>4116.6000000000004</v>
      </c>
      <c r="Y12" s="4"/>
      <c r="Z12" s="12">
        <f t="shared" ref="Z12:Z25" si="3">IF(T12=0,0,X12/T12)</f>
        <v>0.33203903229084836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--15152.58</f>
        <v>15152.58</v>
      </c>
      <c r="E13" s="2"/>
      <c r="F13" s="19"/>
      <c r="G13" s="2"/>
      <c r="H13" s="2">
        <f>-1069.53</f>
        <v>-1069.53</v>
      </c>
      <c r="I13" s="2"/>
      <c r="J13" s="19"/>
      <c r="K13" s="2"/>
      <c r="L13" s="2">
        <f t="shared" si="0"/>
        <v>16222.11</v>
      </c>
      <c r="M13" s="2"/>
      <c r="N13" s="19">
        <f t="shared" si="1"/>
        <v>-15.167512832739616</v>
      </c>
      <c r="O13" s="11"/>
      <c r="P13" s="2">
        <f>--15152.58</f>
        <v>15152.58</v>
      </c>
      <c r="Q13" s="2"/>
      <c r="R13" s="19"/>
      <c r="S13" s="2"/>
      <c r="T13" s="2">
        <f>-1069.53</f>
        <v>-1069.53</v>
      </c>
      <c r="U13" s="2"/>
      <c r="V13" s="19"/>
      <c r="W13" s="2"/>
      <c r="X13" s="2">
        <f t="shared" si="2"/>
        <v>16222.11</v>
      </c>
      <c r="Y13" s="2"/>
      <c r="Z13" s="19">
        <f t="shared" si="3"/>
        <v>-15.167512832739616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7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7" si="5">0</f>
        <v>0</v>
      </c>
      <c r="Q14" s="2"/>
      <c r="R14" s="19"/>
      <c r="S14" s="2"/>
      <c r="T14" s="2">
        <f>0</f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--3388.87</f>
        <v>3388.87</v>
      </c>
      <c r="I15" s="2"/>
      <c r="J15" s="19"/>
      <c r="K15" s="2"/>
      <c r="L15" s="2">
        <f t="shared" si="0"/>
        <v>-3388.87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--3388.87</f>
        <v>3388.87</v>
      </c>
      <c r="U15" s="2"/>
      <c r="V15" s="19"/>
      <c r="W15" s="2"/>
      <c r="X15" s="2">
        <f t="shared" si="2"/>
        <v>-3388.87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--9671.25</f>
        <v>9671.25</v>
      </c>
      <c r="I16" s="2"/>
      <c r="J16" s="19"/>
      <c r="K16" s="2"/>
      <c r="L16" s="2">
        <f t="shared" si="0"/>
        <v>-9671.25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--9671.25</f>
        <v>9671.25</v>
      </c>
      <c r="U16" s="2"/>
      <c r="V16" s="19"/>
      <c r="W16" s="2"/>
      <c r="X16" s="2">
        <f t="shared" si="2"/>
        <v>-9671.25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--125.04</f>
        <v>125.04</v>
      </c>
      <c r="I17" s="2"/>
      <c r="J17" s="19"/>
      <c r="K17" s="2"/>
      <c r="L17" s="2">
        <f t="shared" si="0"/>
        <v>-125.04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--125.04</f>
        <v>125.04</v>
      </c>
      <c r="U17" s="2"/>
      <c r="V17" s="19"/>
      <c r="W17" s="2"/>
      <c r="X17" s="2">
        <f t="shared" si="2"/>
        <v>-125.04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--1628.53</f>
        <v>1628.53</v>
      </c>
      <c r="E18" s="2"/>
      <c r="F18" s="19"/>
      <c r="G18" s="2"/>
      <c r="H18" s="2">
        <f t="shared" ref="H18:H19" si="6">0</f>
        <v>0</v>
      </c>
      <c r="I18" s="2"/>
      <c r="J18" s="19"/>
      <c r="K18" s="2"/>
      <c r="L18" s="2">
        <f t="shared" si="0"/>
        <v>1628.53</v>
      </c>
      <c r="M18" s="2"/>
      <c r="N18" s="19">
        <f t="shared" si="1"/>
        <v>0</v>
      </c>
      <c r="O18" s="11"/>
      <c r="P18" s="2">
        <f>--1628.53</f>
        <v>1628.53</v>
      </c>
      <c r="Q18" s="2"/>
      <c r="R18" s="19"/>
      <c r="S18" s="2"/>
      <c r="T18" s="2">
        <f t="shared" ref="T18:T19" si="7">0</f>
        <v>0</v>
      </c>
      <c r="U18" s="2"/>
      <c r="V18" s="19"/>
      <c r="W18" s="2"/>
      <c r="X18" s="2">
        <f t="shared" si="2"/>
        <v>1628.53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"4126", " - ", "NON-TAXABLE SALES-WRITING INST")</f>
        <v xml:space="preserve">          4126 - NON-TAXABLE SALES-WRITING INST</v>
      </c>
      <c r="C19" s="11"/>
      <c r="D19" s="2">
        <f t="shared" ref="D19:D21" si="8">0</f>
        <v>0</v>
      </c>
      <c r="E19" s="2"/>
      <c r="F19" s="19"/>
      <c r="G19" s="2"/>
      <c r="H19" s="2">
        <f t="shared" si="6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ref="P19:P21" si="9">0</f>
        <v>0</v>
      </c>
      <c r="Q19" s="2"/>
      <c r="R19" s="19"/>
      <c r="S19" s="2"/>
      <c r="T19" s="2">
        <f t="shared" si="7"/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"4131", " - ", "NON-TAXABLE SALES-FOOD")</f>
        <v xml:space="preserve">          4131 - NON-TAXABLE SALES-FOOD</v>
      </c>
      <c r="C20" s="11"/>
      <c r="D20" s="2">
        <f t="shared" si="8"/>
        <v>0</v>
      </c>
      <c r="E20" s="2"/>
      <c r="F20" s="19"/>
      <c r="G20" s="2"/>
      <c r="H20" s="2">
        <f>--587.14</f>
        <v>587.14</v>
      </c>
      <c r="I20" s="2"/>
      <c r="J20" s="19"/>
      <c r="K20" s="2"/>
      <c r="L20" s="2">
        <f t="shared" si="0"/>
        <v>-587.14</v>
      </c>
      <c r="M20" s="2"/>
      <c r="N20" s="19">
        <f t="shared" si="1"/>
        <v>-1</v>
      </c>
      <c r="O20" s="11"/>
      <c r="P20" s="2">
        <f t="shared" si="9"/>
        <v>0</v>
      </c>
      <c r="Q20" s="2"/>
      <c r="R20" s="19"/>
      <c r="S20" s="2"/>
      <c r="T20" s="2">
        <f>--587.14</f>
        <v>587.14</v>
      </c>
      <c r="U20" s="2"/>
      <c r="V20" s="19"/>
      <c r="W20" s="2"/>
      <c r="X20" s="2">
        <f t="shared" si="2"/>
        <v>-587.14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"4133", " - ", "NON-TAXABLE SALES-CANDY")</f>
        <v xml:space="preserve">          4133 - NON-TAXABLE SALES-CANDY</v>
      </c>
      <c r="C21" s="11"/>
      <c r="D21" s="2">
        <f t="shared" si="8"/>
        <v>0</v>
      </c>
      <c r="E21" s="2"/>
      <c r="F21" s="19"/>
      <c r="G21" s="2"/>
      <c r="H21" s="2">
        <f t="shared" ref="H21:H23" si="10"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 t="shared" ref="T21:T23" si="11">0</f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-266.57</f>
        <v>-266.57</v>
      </c>
      <c r="E22" s="2"/>
      <c r="F22" s="19"/>
      <c r="G22" s="2"/>
      <c r="H22" s="2">
        <f t="shared" si="10"/>
        <v>0</v>
      </c>
      <c r="I22" s="2"/>
      <c r="J22" s="19"/>
      <c r="K22" s="2"/>
      <c r="L22" s="2">
        <f t="shared" si="0"/>
        <v>-266.57</v>
      </c>
      <c r="M22" s="2"/>
      <c r="N22" s="19">
        <f t="shared" si="1"/>
        <v>0</v>
      </c>
      <c r="O22" s="11"/>
      <c r="P22" s="2">
        <f>-266.57</f>
        <v>-266.57</v>
      </c>
      <c r="Q22" s="2"/>
      <c r="R22" s="19"/>
      <c r="S22" s="2"/>
      <c r="T22" s="2">
        <f t="shared" si="11"/>
        <v>0</v>
      </c>
      <c r="U22" s="2"/>
      <c r="V22" s="19"/>
      <c r="W22" s="2"/>
      <c r="X22" s="2">
        <f t="shared" si="2"/>
        <v>-266.57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"4226", " - ", "SALES RETURN TAXABLE-WRITING I")</f>
        <v xml:space="preserve">          4226 - SALES RETURN TAXABLE-WRITING I</v>
      </c>
      <c r="C23" s="11"/>
      <c r="D23" s="2">
        <f t="shared" ref="D23:D25" si="12">0</f>
        <v>0</v>
      </c>
      <c r="E23" s="2"/>
      <c r="F23" s="19"/>
      <c r="G23" s="2"/>
      <c r="H23" s="2">
        <f t="shared" si="10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5" si="13">0</f>
        <v>0</v>
      </c>
      <c r="Q23" s="2"/>
      <c r="R23" s="19"/>
      <c r="S23" s="2"/>
      <c r="T23" s="2">
        <f t="shared" si="11"/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"4227", " - ", "SALES RETURN TAXABLE-SCHOOL SU")</f>
        <v xml:space="preserve">          4227 - SALES RETURN TAXABLE-SCHOOL SU</v>
      </c>
      <c r="C24" s="11"/>
      <c r="D24" s="2">
        <f t="shared" si="12"/>
        <v>0</v>
      </c>
      <c r="E24" s="2"/>
      <c r="F24" s="19"/>
      <c r="G24" s="2"/>
      <c r="H24" s="2">
        <f>-140.39</f>
        <v>-140.38999999999999</v>
      </c>
      <c r="I24" s="2"/>
      <c r="J24" s="19"/>
      <c r="K24" s="2"/>
      <c r="L24" s="2">
        <f t="shared" si="0"/>
        <v>140.38999999999999</v>
      </c>
      <c r="M24" s="2"/>
      <c r="N24" s="19">
        <f t="shared" si="1"/>
        <v>-1</v>
      </c>
      <c r="O24" s="11"/>
      <c r="P24" s="2">
        <f t="shared" si="13"/>
        <v>0</v>
      </c>
      <c r="Q24" s="2"/>
      <c r="R24" s="19"/>
      <c r="S24" s="2"/>
      <c r="T24" s="2">
        <f>-140.39</f>
        <v>-140.38999999999999</v>
      </c>
      <c r="U24" s="2"/>
      <c r="V24" s="19"/>
      <c r="W24" s="2"/>
      <c r="X24" s="2">
        <f t="shared" si="2"/>
        <v>140.38999999999999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"4228", " - ", "SALES RETURN TAXABLE-ART/TECH")</f>
        <v xml:space="preserve">          4228 - SALES RETURN TAXABLE-ART/TECH</v>
      </c>
      <c r="C25" s="11"/>
      <c r="D25" s="2">
        <f t="shared" si="12"/>
        <v>0</v>
      </c>
      <c r="E25" s="2"/>
      <c r="F25" s="19"/>
      <c r="G25" s="2"/>
      <c r="H25" s="2">
        <f>-164.44</f>
        <v>-164.44</v>
      </c>
      <c r="I25" s="2"/>
      <c r="J25" s="19"/>
      <c r="K25" s="2"/>
      <c r="L25" s="2">
        <f t="shared" si="0"/>
        <v>164.44</v>
      </c>
      <c r="M25" s="2"/>
      <c r="N25" s="19">
        <f t="shared" si="1"/>
        <v>-1</v>
      </c>
      <c r="O25" s="11"/>
      <c r="P25" s="2">
        <f t="shared" si="13"/>
        <v>0</v>
      </c>
      <c r="Q25" s="2"/>
      <c r="R25" s="19"/>
      <c r="S25" s="2"/>
      <c r="T25" s="2">
        <f>-164.44</f>
        <v>-164.44</v>
      </c>
      <c r="U25" s="2"/>
      <c r="V25" s="19"/>
      <c r="W25" s="2"/>
      <c r="X25" s="2">
        <f t="shared" si="2"/>
        <v>164.44</v>
      </c>
      <c r="Y25" s="2"/>
      <c r="Z25" s="19">
        <f t="shared" si="3"/>
        <v>-1</v>
      </c>
    </row>
    <row r="26" spans="1:26" x14ac:dyDescent="0.3">
      <c r="A26" s="9"/>
      <c r="B26" s="10"/>
      <c r="C26" s="9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collapsed="1" x14ac:dyDescent="0.3">
      <c r="A27" s="10"/>
      <c r="B27" s="26" t="s">
        <v>256</v>
      </c>
      <c r="C27" s="10"/>
      <c r="D27" s="4">
        <f>SUM(OSRRefD16x_0)</f>
        <v>9685.5600000000013</v>
      </c>
      <c r="E27" s="4"/>
      <c r="F27" s="12">
        <f t="shared" ref="F27:F37" si="14">IF(D$12=0,0,D27/D$12)</f>
        <v>0.58648681707150185</v>
      </c>
      <c r="G27" s="4"/>
      <c r="H27" s="4">
        <f>SUM(OSRRefH16x_0)</f>
        <v>9005</v>
      </c>
      <c r="I27" s="4"/>
      <c r="J27" s="12">
        <f t="shared" ref="J27:J37" si="15">IF(H$12=0,0,H27/H$12)</f>
        <v>0.72633034197616697</v>
      </c>
      <c r="K27" s="4"/>
      <c r="L27" s="4">
        <f t="shared" ref="L27:L37" si="16">+D27-H27</f>
        <v>680.56000000000131</v>
      </c>
      <c r="M27" s="4"/>
      <c r="N27" s="12">
        <f t="shared" ref="N27:N37" si="17">IF(H27=0,0,L27/H27)</f>
        <v>7.5575791227096206E-2</v>
      </c>
      <c r="O27" s="10"/>
      <c r="P27" s="4">
        <f>SUM(OSRRefP16x_0)</f>
        <v>9685.5600000000013</v>
      </c>
      <c r="Q27" s="4"/>
      <c r="R27" s="12">
        <f t="shared" ref="R27:R37" si="18">IF(P$12=0,0,P27/P$12)</f>
        <v>0.58648681707150185</v>
      </c>
      <c r="S27" s="4"/>
      <c r="T27" s="4">
        <f>SUM(OSRRefT16x_0)</f>
        <v>9043.0499999999993</v>
      </c>
      <c r="U27" s="4"/>
      <c r="V27" s="12">
        <f t="shared" ref="V27:V37" si="19">IF(T$12=0,0,T27/T$12)</f>
        <v>0.72939940022294014</v>
      </c>
      <c r="W27" s="4"/>
      <c r="X27" s="4">
        <f t="shared" ref="X27:X37" si="20">+P27-T27</f>
        <v>642.51000000000204</v>
      </c>
      <c r="Y27" s="4"/>
      <c r="Z27" s="12">
        <f t="shared" ref="Z27:Z37" si="21">IF(T27=0,0,X27/T27)</f>
        <v>7.1050143480352546E-2</v>
      </c>
    </row>
    <row r="28" spans="1:26" s="24" customFormat="1" hidden="1" outlineLevel="1" x14ac:dyDescent="0.3">
      <c r="A28" s="44"/>
      <c r="B28" s="11" t="str">
        <f>CONCATENATE("          ", "5000", " - ", "PURCHASES @ COST")</f>
        <v xml:space="preserve">          5000 - PURCHASES @ COST</v>
      </c>
      <c r="C28" s="11"/>
      <c r="D28" s="2">
        <v>13695.29</v>
      </c>
      <c r="E28" s="2"/>
      <c r="F28" s="19">
        <f t="shared" si="14"/>
        <v>0.82928679817905915</v>
      </c>
      <c r="G28" s="2"/>
      <c r="H28" s="2"/>
      <c r="I28" s="2"/>
      <c r="J28" s="19">
        <f t="shared" si="15"/>
        <v>0</v>
      </c>
      <c r="K28" s="2"/>
      <c r="L28" s="2">
        <f t="shared" si="16"/>
        <v>13695.29</v>
      </c>
      <c r="M28" s="2"/>
      <c r="N28" s="19">
        <f t="shared" si="17"/>
        <v>0</v>
      </c>
      <c r="O28" s="11"/>
      <c r="P28" s="2">
        <v>13695.29</v>
      </c>
      <c r="Q28" s="2"/>
      <c r="R28" s="19">
        <f t="shared" si="18"/>
        <v>0.82928679817905915</v>
      </c>
      <c r="S28" s="2"/>
      <c r="T28" s="2"/>
      <c r="U28" s="2"/>
      <c r="V28" s="19">
        <f t="shared" si="19"/>
        <v>0</v>
      </c>
      <c r="W28" s="2"/>
      <c r="X28" s="2">
        <f t="shared" si="20"/>
        <v>13695.29</v>
      </c>
      <c r="Y28" s="2"/>
      <c r="Z28" s="19">
        <f t="shared" si="21"/>
        <v>0</v>
      </c>
    </row>
    <row r="29" spans="1:26" s="24" customFormat="1" hidden="1" outlineLevel="1" x14ac:dyDescent="0.3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>
        <v>0</v>
      </c>
      <c r="E29" s="2"/>
      <c r="F29" s="19">
        <f t="shared" si="14"/>
        <v>0</v>
      </c>
      <c r="G29" s="2"/>
      <c r="H29" s="2"/>
      <c r="I29" s="2"/>
      <c r="J29" s="19">
        <f t="shared" si="15"/>
        <v>0</v>
      </c>
      <c r="K29" s="2"/>
      <c r="L29" s="2">
        <f t="shared" si="16"/>
        <v>0</v>
      </c>
      <c r="M29" s="2"/>
      <c r="N29" s="19">
        <f t="shared" si="17"/>
        <v>0</v>
      </c>
      <c r="O29" s="11"/>
      <c r="P29" s="2">
        <v>0</v>
      </c>
      <c r="Q29" s="2"/>
      <c r="R29" s="19">
        <f t="shared" si="18"/>
        <v>0</v>
      </c>
      <c r="S29" s="2"/>
      <c r="T29" s="2"/>
      <c r="U29" s="2"/>
      <c r="V29" s="19">
        <f t="shared" si="19"/>
        <v>0</v>
      </c>
      <c r="W29" s="2"/>
      <c r="X29" s="2">
        <f t="shared" si="20"/>
        <v>0</v>
      </c>
      <c r="Y29" s="2"/>
      <c r="Z29" s="19">
        <f t="shared" si="21"/>
        <v>0</v>
      </c>
    </row>
    <row r="30" spans="1:26" s="24" customFormat="1" hidden="1" outlineLevel="1" x14ac:dyDescent="0.3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>
        <v>0</v>
      </c>
      <c r="E30" s="2"/>
      <c r="F30" s="19">
        <f t="shared" si="14"/>
        <v>0</v>
      </c>
      <c r="G30" s="2"/>
      <c r="H30" s="2"/>
      <c r="I30" s="2"/>
      <c r="J30" s="19">
        <f t="shared" si="15"/>
        <v>0</v>
      </c>
      <c r="K30" s="2"/>
      <c r="L30" s="2">
        <f t="shared" si="16"/>
        <v>0</v>
      </c>
      <c r="M30" s="2"/>
      <c r="N30" s="19">
        <f t="shared" si="17"/>
        <v>0</v>
      </c>
      <c r="O30" s="11"/>
      <c r="P30" s="2">
        <v>0</v>
      </c>
      <c r="Q30" s="2"/>
      <c r="R30" s="19">
        <f t="shared" si="18"/>
        <v>0</v>
      </c>
      <c r="S30" s="2"/>
      <c r="T30" s="2">
        <v>0</v>
      </c>
      <c r="U30" s="2"/>
      <c r="V30" s="19">
        <f t="shared" si="19"/>
        <v>0</v>
      </c>
      <c r="W30" s="2"/>
      <c r="X30" s="2">
        <f t="shared" si="20"/>
        <v>0</v>
      </c>
      <c r="Y30" s="2"/>
      <c r="Z30" s="19">
        <f t="shared" si="21"/>
        <v>0</v>
      </c>
    </row>
    <row r="31" spans="1:26" s="24" customFormat="1" hidden="1" outlineLevel="1" x14ac:dyDescent="0.3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>
        <v>0</v>
      </c>
      <c r="E31" s="2"/>
      <c r="F31" s="19">
        <f t="shared" si="14"/>
        <v>0</v>
      </c>
      <c r="G31" s="2"/>
      <c r="H31" s="2"/>
      <c r="I31" s="2"/>
      <c r="J31" s="19">
        <f t="shared" si="15"/>
        <v>0</v>
      </c>
      <c r="K31" s="2"/>
      <c r="L31" s="2">
        <f t="shared" si="16"/>
        <v>0</v>
      </c>
      <c r="M31" s="2"/>
      <c r="N31" s="19">
        <f t="shared" si="17"/>
        <v>0</v>
      </c>
      <c r="O31" s="11"/>
      <c r="P31" s="2">
        <v>0</v>
      </c>
      <c r="Q31" s="2"/>
      <c r="R31" s="19">
        <f t="shared" si="18"/>
        <v>0</v>
      </c>
      <c r="S31" s="2"/>
      <c r="T31" s="2"/>
      <c r="U31" s="2"/>
      <c r="V31" s="19">
        <f t="shared" si="19"/>
        <v>0</v>
      </c>
      <c r="W31" s="2"/>
      <c r="X31" s="2">
        <f t="shared" si="20"/>
        <v>0</v>
      </c>
      <c r="Y31" s="2"/>
      <c r="Z31" s="19">
        <f t="shared" si="21"/>
        <v>0</v>
      </c>
    </row>
    <row r="32" spans="1:26" s="24" customFormat="1" hidden="1" outlineLevel="1" x14ac:dyDescent="0.3">
      <c r="A32" s="44"/>
      <c r="B32" s="11" t="str">
        <f>CONCATENATE("          ", "5031", " - ", "PURCHASES @ COST-FOOD")</f>
        <v xml:space="preserve">          5031 - PURCHASES @ COST-FOOD</v>
      </c>
      <c r="C32" s="11"/>
      <c r="D32" s="2">
        <v>0</v>
      </c>
      <c r="E32" s="2"/>
      <c r="F32" s="19">
        <f t="shared" si="14"/>
        <v>0</v>
      </c>
      <c r="G32" s="2"/>
      <c r="H32" s="2">
        <v>0</v>
      </c>
      <c r="I32" s="2"/>
      <c r="J32" s="19">
        <f t="shared" si="15"/>
        <v>0</v>
      </c>
      <c r="K32" s="2"/>
      <c r="L32" s="2">
        <f t="shared" si="16"/>
        <v>0</v>
      </c>
      <c r="M32" s="2"/>
      <c r="N32" s="19">
        <f t="shared" si="17"/>
        <v>0</v>
      </c>
      <c r="O32" s="11"/>
      <c r="P32" s="2">
        <v>0</v>
      </c>
      <c r="Q32" s="2"/>
      <c r="R32" s="19">
        <f t="shared" si="18"/>
        <v>0</v>
      </c>
      <c r="S32" s="2"/>
      <c r="T32" s="2">
        <v>0</v>
      </c>
      <c r="U32" s="2"/>
      <c r="V32" s="19">
        <f t="shared" si="19"/>
        <v>0</v>
      </c>
      <c r="W32" s="2"/>
      <c r="X32" s="2">
        <f t="shared" si="20"/>
        <v>0</v>
      </c>
      <c r="Y32" s="2"/>
      <c r="Z32" s="19">
        <f t="shared" si="21"/>
        <v>0</v>
      </c>
    </row>
    <row r="33" spans="1:26" s="24" customFormat="1" hidden="1" outlineLevel="1" x14ac:dyDescent="0.3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>
        <v>0</v>
      </c>
      <c r="E33" s="2"/>
      <c r="F33" s="19">
        <f t="shared" si="14"/>
        <v>0</v>
      </c>
      <c r="G33" s="2"/>
      <c r="H33" s="2"/>
      <c r="I33" s="2"/>
      <c r="J33" s="19">
        <f t="shared" si="15"/>
        <v>0</v>
      </c>
      <c r="K33" s="2"/>
      <c r="L33" s="2">
        <f t="shared" si="16"/>
        <v>0</v>
      </c>
      <c r="M33" s="2"/>
      <c r="N33" s="19">
        <f t="shared" si="17"/>
        <v>0</v>
      </c>
      <c r="O33" s="11"/>
      <c r="P33" s="2">
        <v>0</v>
      </c>
      <c r="Q33" s="2"/>
      <c r="R33" s="19">
        <f t="shared" si="18"/>
        <v>0</v>
      </c>
      <c r="S33" s="2"/>
      <c r="T33" s="2"/>
      <c r="U33" s="2"/>
      <c r="V33" s="19">
        <f t="shared" si="19"/>
        <v>0</v>
      </c>
      <c r="W33" s="2"/>
      <c r="X33" s="2">
        <f t="shared" si="20"/>
        <v>0</v>
      </c>
      <c r="Y33" s="2"/>
      <c r="Z33" s="19">
        <f t="shared" si="21"/>
        <v>0</v>
      </c>
    </row>
    <row r="34" spans="1:26" s="24" customFormat="1" hidden="1" outlineLevel="1" x14ac:dyDescent="0.3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-13837.74</v>
      </c>
      <c r="E34" s="2"/>
      <c r="F34" s="19">
        <f t="shared" si="14"/>
        <v>-0.83791253041259395</v>
      </c>
      <c r="G34" s="2"/>
      <c r="H34" s="2"/>
      <c r="I34" s="2"/>
      <c r="J34" s="19">
        <f t="shared" si="15"/>
        <v>0</v>
      </c>
      <c r="K34" s="2"/>
      <c r="L34" s="2">
        <f t="shared" si="16"/>
        <v>-13837.74</v>
      </c>
      <c r="M34" s="2"/>
      <c r="N34" s="19">
        <f t="shared" si="17"/>
        <v>0</v>
      </c>
      <c r="O34" s="11"/>
      <c r="P34" s="2">
        <v>-13837.74</v>
      </c>
      <c r="Q34" s="2"/>
      <c r="R34" s="19">
        <f t="shared" si="18"/>
        <v>-0.83791253041259395</v>
      </c>
      <c r="S34" s="2"/>
      <c r="T34" s="2"/>
      <c r="U34" s="2"/>
      <c r="V34" s="19">
        <f t="shared" si="19"/>
        <v>0</v>
      </c>
      <c r="W34" s="2"/>
      <c r="X34" s="2">
        <f t="shared" si="20"/>
        <v>-13837.74</v>
      </c>
      <c r="Y34" s="2"/>
      <c r="Z34" s="19">
        <f t="shared" si="21"/>
        <v>0</v>
      </c>
    </row>
    <row r="35" spans="1:26" s="24" customFormat="1" hidden="1" outlineLevel="1" x14ac:dyDescent="0.3">
      <c r="A35" s="44"/>
      <c r="B35" s="11" t="str">
        <f>CONCATENATE("          ", "5300", " - ", "COG$ OFFSET")</f>
        <v xml:space="preserve">          5300 - COG$ OFFSET</v>
      </c>
      <c r="C35" s="11"/>
      <c r="D35" s="2">
        <v>9685.56</v>
      </c>
      <c r="E35" s="2"/>
      <c r="F35" s="19">
        <f t="shared" si="14"/>
        <v>0.58648681707150174</v>
      </c>
      <c r="G35" s="2"/>
      <c r="H35" s="2">
        <v>9005</v>
      </c>
      <c r="I35" s="2"/>
      <c r="J35" s="19">
        <f t="shared" si="15"/>
        <v>0.72633034197616697</v>
      </c>
      <c r="K35" s="2"/>
      <c r="L35" s="2">
        <f t="shared" si="16"/>
        <v>680.55999999999949</v>
      </c>
      <c r="M35" s="2"/>
      <c r="N35" s="19">
        <f t="shared" si="17"/>
        <v>7.5575791227095998E-2</v>
      </c>
      <c r="O35" s="11"/>
      <c r="P35" s="2">
        <v>9685.56</v>
      </c>
      <c r="Q35" s="2"/>
      <c r="R35" s="19">
        <f t="shared" si="18"/>
        <v>0.58648681707150174</v>
      </c>
      <c r="S35" s="2"/>
      <c r="T35" s="2">
        <v>9005</v>
      </c>
      <c r="U35" s="2"/>
      <c r="V35" s="19">
        <f t="shared" si="19"/>
        <v>0.72633034197616697</v>
      </c>
      <c r="W35" s="2"/>
      <c r="X35" s="2">
        <f t="shared" si="20"/>
        <v>680.55999999999949</v>
      </c>
      <c r="Y35" s="2"/>
      <c r="Z35" s="19">
        <f t="shared" si="21"/>
        <v>7.5575791227095998E-2</v>
      </c>
    </row>
    <row r="36" spans="1:26" s="24" customFormat="1" hidden="1" outlineLevel="1" x14ac:dyDescent="0.3">
      <c r="A36" s="44"/>
      <c r="B36" s="11" t="str">
        <f>CONCATENATE("          ", "5500", " - ", "FREIGHT-IN")</f>
        <v xml:space="preserve">          5500 - FREIGHT-IN</v>
      </c>
      <c r="C36" s="11"/>
      <c r="D36" s="2">
        <v>142.44999999999999</v>
      </c>
      <c r="E36" s="2"/>
      <c r="F36" s="19">
        <f t="shared" si="14"/>
        <v>8.6257322335348118E-3</v>
      </c>
      <c r="G36" s="2"/>
      <c r="H36" s="2"/>
      <c r="I36" s="2"/>
      <c r="J36" s="19">
        <f t="shared" si="15"/>
        <v>0</v>
      </c>
      <c r="K36" s="2"/>
      <c r="L36" s="2">
        <f t="shared" si="16"/>
        <v>142.44999999999999</v>
      </c>
      <c r="M36" s="2"/>
      <c r="N36" s="19">
        <f t="shared" si="17"/>
        <v>0</v>
      </c>
      <c r="O36" s="11"/>
      <c r="P36" s="2">
        <v>142.44999999999999</v>
      </c>
      <c r="Q36" s="2"/>
      <c r="R36" s="19">
        <f t="shared" si="18"/>
        <v>8.6257322335348118E-3</v>
      </c>
      <c r="S36" s="2"/>
      <c r="T36" s="2"/>
      <c r="U36" s="2"/>
      <c r="V36" s="19">
        <f t="shared" si="19"/>
        <v>0</v>
      </c>
      <c r="W36" s="2"/>
      <c r="X36" s="2">
        <f t="shared" si="20"/>
        <v>142.44999999999999</v>
      </c>
      <c r="Y36" s="2"/>
      <c r="Z36" s="19">
        <f t="shared" si="21"/>
        <v>0</v>
      </c>
    </row>
    <row r="37" spans="1:26" s="24" customFormat="1" hidden="1" outlineLevel="1" x14ac:dyDescent="0.3">
      <c r="A37" s="44"/>
      <c r="B37" s="11" t="str">
        <f>CONCATENATE("          ", "5528", " - ", "FREIGHT-IN-ART/TECH")</f>
        <v xml:space="preserve">          5528 - FREIGHT-IN-ART/TECH</v>
      </c>
      <c r="C37" s="11"/>
      <c r="D37" s="2">
        <v>0</v>
      </c>
      <c r="E37" s="2"/>
      <c r="F37" s="19">
        <f t="shared" si="14"/>
        <v>0</v>
      </c>
      <c r="G37" s="2"/>
      <c r="H37" s="2"/>
      <c r="I37" s="2"/>
      <c r="J37" s="19">
        <f t="shared" si="15"/>
        <v>0</v>
      </c>
      <c r="K37" s="2"/>
      <c r="L37" s="2">
        <f t="shared" si="16"/>
        <v>0</v>
      </c>
      <c r="M37" s="2"/>
      <c r="N37" s="19">
        <f t="shared" si="17"/>
        <v>0</v>
      </c>
      <c r="O37" s="11"/>
      <c r="P37" s="2">
        <v>0</v>
      </c>
      <c r="Q37" s="2"/>
      <c r="R37" s="19">
        <f t="shared" si="18"/>
        <v>0</v>
      </c>
      <c r="S37" s="2"/>
      <c r="T37" s="2">
        <v>38.049999999999997</v>
      </c>
      <c r="U37" s="2"/>
      <c r="V37" s="19">
        <f t="shared" si="19"/>
        <v>3.0690582467732541E-3</v>
      </c>
      <c r="W37" s="2"/>
      <c r="X37" s="2">
        <f t="shared" si="20"/>
        <v>-38.049999999999997</v>
      </c>
      <c r="Y37" s="2"/>
      <c r="Z37" s="19">
        <f t="shared" si="21"/>
        <v>-1</v>
      </c>
    </row>
    <row r="38" spans="1:26" x14ac:dyDescent="0.3">
      <c r="A38" s="9"/>
      <c r="B38" s="10"/>
      <c r="C38" s="10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O38" s="10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x14ac:dyDescent="0.3">
      <c r="A39" s="10"/>
      <c r="B39" s="25" t="s">
        <v>107</v>
      </c>
      <c r="C39" s="25"/>
      <c r="D39" s="20">
        <f>D12-D27</f>
        <v>6828.98</v>
      </c>
      <c r="E39" s="13"/>
      <c r="F39" s="22">
        <f>IF(D$12=0,0,D39/D$12)</f>
        <v>0.41351318292849809</v>
      </c>
      <c r="G39" s="13"/>
      <c r="H39" s="20">
        <f>H12-H27</f>
        <v>3392.9400000000005</v>
      </c>
      <c r="I39" s="13"/>
      <c r="J39" s="22">
        <f>IF(H$12=0,0,H39/H$12)</f>
        <v>0.27366965802383303</v>
      </c>
      <c r="K39" s="15"/>
      <c r="L39" s="20">
        <f>+D39-H39</f>
        <v>3436.0399999999991</v>
      </c>
      <c r="M39" s="15"/>
      <c r="N39" s="22">
        <f>IF(H39=0,0,L39/H39)</f>
        <v>1.0127028476778246</v>
      </c>
      <c r="O39" s="26"/>
      <c r="P39" s="20">
        <f>P12-P27</f>
        <v>6828.98</v>
      </c>
      <c r="Q39" s="13"/>
      <c r="R39" s="22">
        <f>IF(P$12=0,0,P39/P$12)</f>
        <v>0.41351318292849809</v>
      </c>
      <c r="S39" s="13"/>
      <c r="T39" s="20">
        <f>T12-T27</f>
        <v>3354.8900000000012</v>
      </c>
      <c r="U39" s="13"/>
      <c r="V39" s="22">
        <f>IF(T$12=0,0,T39/T$12)</f>
        <v>0.2706005997770598</v>
      </c>
      <c r="W39" s="15"/>
      <c r="X39" s="20">
        <f>+P39-T39</f>
        <v>3474.0899999999983</v>
      </c>
      <c r="Y39" s="15"/>
      <c r="Z39" s="22">
        <f>IF(T39=0,0,X39/T39)</f>
        <v>1.0355302260282742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6" t="s">
        <v>294</v>
      </c>
      <c r="C41" s="10"/>
      <c r="D41" s="21">
        <f>SUM(OSRRefD22x_0)</f>
        <v>3490.5</v>
      </c>
      <c r="E41" s="21"/>
      <c r="F41" s="32">
        <f t="shared" ref="F41:F46" si="22">IF(D$12=0,0,D41/D$12)</f>
        <v>0.21135920225449814</v>
      </c>
      <c r="G41" s="21"/>
      <c r="H41" s="21">
        <f>SUM(OSRRefH22x_0)</f>
        <v>5481.72</v>
      </c>
      <c r="I41" s="21"/>
      <c r="J41" s="32">
        <f t="shared" ref="J41:J46" si="23">IF(H$12=0,0,H41/H$12)</f>
        <v>0.44214764710911653</v>
      </c>
      <c r="K41" s="4"/>
      <c r="L41" s="21">
        <f t="shared" ref="L41:L46" si="24">+D41-H41</f>
        <v>-1991.2200000000003</v>
      </c>
      <c r="M41" s="4"/>
      <c r="N41" s="32">
        <f t="shared" ref="N41:N46" si="25">IF(H41=0,0,L41/H41)</f>
        <v>-0.36324730194172633</v>
      </c>
      <c r="O41" s="10"/>
      <c r="P41" s="21">
        <f>SUM(OSRRefP22x_0)</f>
        <v>4253.5</v>
      </c>
      <c r="Q41" s="21"/>
      <c r="R41" s="32">
        <f t="shared" ref="R41:R46" si="26">IF(P$12=0,0,P41/P$12)</f>
        <v>0.25756091298940204</v>
      </c>
      <c r="S41" s="21"/>
      <c r="T41" s="21">
        <f>SUM(OSRRefT22x_0)</f>
        <v>6585.0700000000006</v>
      </c>
      <c r="U41" s="21"/>
      <c r="V41" s="32">
        <f t="shared" ref="V41:V46" si="27">IF(T$12=0,0,T41/T$12)</f>
        <v>0.53114227040943907</v>
      </c>
      <c r="W41" s="4"/>
      <c r="X41" s="21">
        <f t="shared" ref="X41:X46" si="28">+P41-T41</f>
        <v>-2331.5700000000006</v>
      </c>
      <c r="Y41" s="4"/>
      <c r="Z41" s="32">
        <f t="shared" ref="Z41:Z46" si="29">IF(T41=0,0,X41/T41)</f>
        <v>-0.35406912910568916</v>
      </c>
    </row>
    <row r="42" spans="1:26" s="28" customFormat="1" outlineLevel="1" collapsed="1" x14ac:dyDescent="0.3">
      <c r="A42" s="29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0</v>
      </c>
      <c r="E42" s="1"/>
      <c r="F42" s="5">
        <f t="shared" si="22"/>
        <v>0</v>
      </c>
      <c r="G42" s="1"/>
      <c r="H42" s="1">
        <f>SUM(OSRRefH22_0x_0)</f>
        <v>313.34000000000003</v>
      </c>
      <c r="I42" s="1"/>
      <c r="J42" s="5">
        <f t="shared" si="23"/>
        <v>2.5273553509695967E-2</v>
      </c>
      <c r="K42" s="1"/>
      <c r="L42" s="1">
        <f t="shared" si="24"/>
        <v>-313.34000000000003</v>
      </c>
      <c r="M42" s="1"/>
      <c r="N42" s="5">
        <f t="shared" si="25"/>
        <v>-1</v>
      </c>
      <c r="O42" s="14"/>
      <c r="P42" s="1">
        <f>SUM(OSRRefP22_0x_0)</f>
        <v>0</v>
      </c>
      <c r="Q42" s="1"/>
      <c r="R42" s="5">
        <f t="shared" si="26"/>
        <v>0</v>
      </c>
      <c r="S42" s="1"/>
      <c r="T42" s="1">
        <f>SUM(OSRRefT22_0x_0)</f>
        <v>313.34000000000003</v>
      </c>
      <c r="U42" s="1"/>
      <c r="V42" s="5">
        <f t="shared" si="27"/>
        <v>2.5273553509695967E-2</v>
      </c>
      <c r="W42" s="1"/>
      <c r="X42" s="1">
        <f t="shared" si="28"/>
        <v>-313.34000000000003</v>
      </c>
      <c r="Y42" s="1"/>
      <c r="Z42" s="5">
        <f t="shared" si="29"/>
        <v>-1</v>
      </c>
    </row>
    <row r="43" spans="1:26" s="24" customFormat="1" hidden="1" outlineLevel="2" x14ac:dyDescent="0.3">
      <c r="A43" s="27"/>
      <c r="B43" s="11" t="str">
        <f>CONCATENATE("          ", "6111", " - ", "F.I.C.A.")</f>
        <v xml:space="preserve">          6111 - F.I.C.A.</v>
      </c>
      <c r="C43" s="11"/>
      <c r="D43" s="7"/>
      <c r="E43" s="2"/>
      <c r="F43" s="8">
        <f t="shared" si="22"/>
        <v>0</v>
      </c>
      <c r="G43" s="2"/>
      <c r="H43" s="7">
        <v>257.36</v>
      </c>
      <c r="I43" s="2"/>
      <c r="J43" s="8">
        <f t="shared" si="23"/>
        <v>2.0758287263851899E-2</v>
      </c>
      <c r="K43" s="2"/>
      <c r="L43" s="7">
        <f t="shared" si="24"/>
        <v>-257.36</v>
      </c>
      <c r="M43" s="2"/>
      <c r="N43" s="8">
        <f t="shared" si="25"/>
        <v>-1</v>
      </c>
      <c r="O43" s="11"/>
      <c r="P43" s="7"/>
      <c r="Q43" s="2"/>
      <c r="R43" s="8">
        <f t="shared" si="26"/>
        <v>0</v>
      </c>
      <c r="S43" s="2"/>
      <c r="T43" s="7">
        <v>257.36</v>
      </c>
      <c r="U43" s="2"/>
      <c r="V43" s="8">
        <f t="shared" si="27"/>
        <v>2.0758287263851899E-2</v>
      </c>
      <c r="W43" s="2"/>
      <c r="X43" s="7">
        <f t="shared" si="28"/>
        <v>-257.36</v>
      </c>
      <c r="Y43" s="2"/>
      <c r="Z43" s="8">
        <f t="shared" si="29"/>
        <v>-1</v>
      </c>
    </row>
    <row r="44" spans="1:26" s="24" customFormat="1" hidden="1" outlineLevel="2" x14ac:dyDescent="0.3">
      <c r="A44" s="27"/>
      <c r="B44" s="11" t="str">
        <f>CONCATENATE("          ", "6112", " - ", "COMPENSATION INSURANCE")</f>
        <v xml:space="preserve">          6112 - COMPENSATION INSURANCE</v>
      </c>
      <c r="C44" s="11"/>
      <c r="D44" s="7"/>
      <c r="E44" s="2"/>
      <c r="F44" s="8">
        <f t="shared" si="22"/>
        <v>0</v>
      </c>
      <c r="G44" s="2"/>
      <c r="H44" s="7">
        <v>47.24</v>
      </c>
      <c r="I44" s="2"/>
      <c r="J44" s="8">
        <f t="shared" si="23"/>
        <v>3.8103104225379377E-3</v>
      </c>
      <c r="K44" s="2"/>
      <c r="L44" s="7">
        <f t="shared" si="24"/>
        <v>-47.24</v>
      </c>
      <c r="M44" s="2"/>
      <c r="N44" s="8">
        <f t="shared" si="25"/>
        <v>-1</v>
      </c>
      <c r="O44" s="11"/>
      <c r="P44" s="7"/>
      <c r="Q44" s="2"/>
      <c r="R44" s="8">
        <f t="shared" si="26"/>
        <v>0</v>
      </c>
      <c r="S44" s="2"/>
      <c r="T44" s="7">
        <v>47.24</v>
      </c>
      <c r="U44" s="2"/>
      <c r="V44" s="8">
        <f t="shared" si="27"/>
        <v>3.8103104225379377E-3</v>
      </c>
      <c r="W44" s="2"/>
      <c r="X44" s="7">
        <f t="shared" si="28"/>
        <v>-47.24</v>
      </c>
      <c r="Y44" s="2"/>
      <c r="Z44" s="8">
        <f t="shared" si="29"/>
        <v>-1</v>
      </c>
    </row>
    <row r="45" spans="1:26" s="24" customFormat="1" hidden="1" outlineLevel="2" x14ac:dyDescent="0.3">
      <c r="A45" s="27"/>
      <c r="B45" s="11" t="str">
        <f>CONCATENATE("          ", "6113", " - ", "GROUP INSURANCE")</f>
        <v xml:space="preserve">          6113 - GROUP INSURANCE</v>
      </c>
      <c r="C45" s="11"/>
      <c r="D45" s="7"/>
      <c r="E45" s="2"/>
      <c r="F45" s="8">
        <f t="shared" si="22"/>
        <v>0</v>
      </c>
      <c r="G45" s="2"/>
      <c r="H45" s="7"/>
      <c r="I45" s="2"/>
      <c r="J45" s="8">
        <f t="shared" si="23"/>
        <v>0</v>
      </c>
      <c r="K45" s="2"/>
      <c r="L45" s="7">
        <f t="shared" si="24"/>
        <v>0</v>
      </c>
      <c r="M45" s="2"/>
      <c r="N45" s="8">
        <f t="shared" si="25"/>
        <v>0</v>
      </c>
      <c r="O45" s="11"/>
      <c r="P45" s="7"/>
      <c r="Q45" s="2"/>
      <c r="R45" s="8">
        <f t="shared" si="26"/>
        <v>0</v>
      </c>
      <c r="S45" s="2"/>
      <c r="T45" s="7">
        <v>0</v>
      </c>
      <c r="U45" s="2"/>
      <c r="V45" s="8">
        <f t="shared" si="27"/>
        <v>0</v>
      </c>
      <c r="W45" s="2"/>
      <c r="X45" s="7">
        <f t="shared" si="28"/>
        <v>0</v>
      </c>
      <c r="Y45" s="2"/>
      <c r="Z45" s="8">
        <f t="shared" si="29"/>
        <v>0</v>
      </c>
    </row>
    <row r="46" spans="1:26" s="24" customFormat="1" hidden="1" outlineLevel="2" x14ac:dyDescent="0.3">
      <c r="A46" s="27"/>
      <c r="B46" s="11" t="str">
        <f>CONCATENATE("          ", "6114", " - ", "STATE UNEMPLOYMENT INSURANCE")</f>
        <v xml:space="preserve">          6114 - STATE UNEMPLOYMENT INSURANCE</v>
      </c>
      <c r="C46" s="11"/>
      <c r="D46" s="7"/>
      <c r="E46" s="2"/>
      <c r="F46" s="8">
        <f t="shared" si="22"/>
        <v>0</v>
      </c>
      <c r="G46" s="2"/>
      <c r="H46" s="7">
        <v>8.74</v>
      </c>
      <c r="I46" s="2"/>
      <c r="J46" s="8">
        <f t="shared" si="23"/>
        <v>7.0495582330612992E-4</v>
      </c>
      <c r="K46" s="2"/>
      <c r="L46" s="7">
        <f t="shared" si="24"/>
        <v>-8.74</v>
      </c>
      <c r="M46" s="2"/>
      <c r="N46" s="8">
        <f t="shared" si="25"/>
        <v>-1</v>
      </c>
      <c r="O46" s="11"/>
      <c r="P46" s="7"/>
      <c r="Q46" s="2"/>
      <c r="R46" s="8">
        <f t="shared" si="26"/>
        <v>0</v>
      </c>
      <c r="S46" s="2"/>
      <c r="T46" s="7">
        <v>8.74</v>
      </c>
      <c r="U46" s="2"/>
      <c r="V46" s="8">
        <f t="shared" si="27"/>
        <v>7.0495582330612992E-4</v>
      </c>
      <c r="W46" s="2"/>
      <c r="X46" s="7">
        <f t="shared" si="28"/>
        <v>-8.74</v>
      </c>
      <c r="Y46" s="2"/>
      <c r="Z46" s="8">
        <f t="shared" si="29"/>
        <v>-1</v>
      </c>
    </row>
    <row r="47" spans="1:26" s="28" customFormat="1" outlineLevel="1" collapsed="1" x14ac:dyDescent="0.3">
      <c r="A47" s="29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49" si="30">IF(D$12=0,0,D47/D$12)</f>
        <v>0</v>
      </c>
      <c r="G47" s="1"/>
      <c r="H47" s="1">
        <f>SUM(OSRRefH22_1x_0)</f>
        <v>4507.12</v>
      </c>
      <c r="I47" s="1"/>
      <c r="J47" s="5">
        <f t="shared" ref="J47:J49" si="31">IF(H$12=0,0,H47/H$12)</f>
        <v>0.36353781353999132</v>
      </c>
      <c r="K47" s="1"/>
      <c r="L47" s="1">
        <f t="shared" ref="L47:L49" si="32">+D47-H47</f>
        <v>-4507.12</v>
      </c>
      <c r="M47" s="1"/>
      <c r="N47" s="5">
        <f t="shared" ref="N47:N49" si="33">IF(H47=0,0,L47/H47)</f>
        <v>-1</v>
      </c>
      <c r="O47" s="14"/>
      <c r="P47" s="1">
        <f>SUM(OSRRefP22_1x_0)</f>
        <v>0</v>
      </c>
      <c r="Q47" s="1"/>
      <c r="R47" s="5">
        <f t="shared" ref="R47:R49" si="34">IF(P$12=0,0,P47/P$12)</f>
        <v>0</v>
      </c>
      <c r="S47" s="1"/>
      <c r="T47" s="1">
        <f>SUM(OSRRefT22_1x_0)</f>
        <v>4507.12</v>
      </c>
      <c r="U47" s="1"/>
      <c r="V47" s="5">
        <f t="shared" ref="V47:V49" si="35">IF(T$12=0,0,T47/T$12)</f>
        <v>0.36353781353999132</v>
      </c>
      <c r="W47" s="1"/>
      <c r="X47" s="1">
        <f t="shared" ref="X47:X49" si="36">+P47-T47</f>
        <v>-4507.12</v>
      </c>
      <c r="Y47" s="1"/>
      <c r="Z47" s="5">
        <f t="shared" ref="Z47:Z49" si="37">IF(T47=0,0,X47/T47)</f>
        <v>-1</v>
      </c>
    </row>
    <row r="48" spans="1:26" s="24" customFormat="1" hidden="1" outlineLevel="2" x14ac:dyDescent="0.3">
      <c r="A48" s="27"/>
      <c r="B48" s="11" t="str">
        <f>CONCATENATE("          ", "6005", " - ", "TEMPORARY WAGES-HOURLY")</f>
        <v xml:space="preserve">          6005 - TEMPORARY WAGES-HOURLY</v>
      </c>
      <c r="C48" s="11"/>
      <c r="D48" s="7"/>
      <c r="E48" s="2"/>
      <c r="F48" s="8">
        <f t="shared" si="30"/>
        <v>0</v>
      </c>
      <c r="G48" s="2"/>
      <c r="H48" s="7">
        <v>2408.23</v>
      </c>
      <c r="I48" s="2"/>
      <c r="J48" s="8">
        <f t="shared" si="31"/>
        <v>0.19424436640280562</v>
      </c>
      <c r="K48" s="2"/>
      <c r="L48" s="7">
        <f t="shared" si="32"/>
        <v>-2408.23</v>
      </c>
      <c r="M48" s="2"/>
      <c r="N48" s="8">
        <f t="shared" si="33"/>
        <v>-1</v>
      </c>
      <c r="O48" s="11"/>
      <c r="P48" s="7"/>
      <c r="Q48" s="2"/>
      <c r="R48" s="8">
        <f t="shared" si="34"/>
        <v>0</v>
      </c>
      <c r="S48" s="2"/>
      <c r="T48" s="7">
        <v>2408.23</v>
      </c>
      <c r="U48" s="2"/>
      <c r="V48" s="8">
        <f t="shared" si="35"/>
        <v>0.19424436640280562</v>
      </c>
      <c r="W48" s="2"/>
      <c r="X48" s="7">
        <f t="shared" si="36"/>
        <v>-2408.23</v>
      </c>
      <c r="Y48" s="2"/>
      <c r="Z48" s="8">
        <f t="shared" si="37"/>
        <v>-1</v>
      </c>
    </row>
    <row r="49" spans="1:26" s="24" customFormat="1" hidden="1" outlineLevel="2" x14ac:dyDescent="0.3">
      <c r="A49" s="27"/>
      <c r="B49" s="11" t="str">
        <f>CONCATENATE("          ", "6007", " - ", "STUDENT HOURLY")</f>
        <v xml:space="preserve">          6007 - STUDENT HOURLY</v>
      </c>
      <c r="C49" s="11"/>
      <c r="D49" s="7"/>
      <c r="E49" s="2"/>
      <c r="F49" s="8">
        <f t="shared" si="30"/>
        <v>0</v>
      </c>
      <c r="G49" s="2"/>
      <c r="H49" s="7">
        <v>2098.89</v>
      </c>
      <c r="I49" s="2"/>
      <c r="J49" s="8">
        <f t="shared" si="31"/>
        <v>0.16929344713718567</v>
      </c>
      <c r="K49" s="2"/>
      <c r="L49" s="7">
        <f t="shared" si="32"/>
        <v>-2098.89</v>
      </c>
      <c r="M49" s="2"/>
      <c r="N49" s="8">
        <f t="shared" si="33"/>
        <v>-1</v>
      </c>
      <c r="O49" s="11"/>
      <c r="P49" s="7"/>
      <c r="Q49" s="2"/>
      <c r="R49" s="8">
        <f t="shared" si="34"/>
        <v>0</v>
      </c>
      <c r="S49" s="2"/>
      <c r="T49" s="7">
        <v>2098.89</v>
      </c>
      <c r="U49" s="2"/>
      <c r="V49" s="8">
        <f t="shared" si="35"/>
        <v>0.16929344713718567</v>
      </c>
      <c r="W49" s="2"/>
      <c r="X49" s="7">
        <f t="shared" si="36"/>
        <v>-2098.89</v>
      </c>
      <c r="Y49" s="2"/>
      <c r="Z49" s="8">
        <f t="shared" si="37"/>
        <v>-1</v>
      </c>
    </row>
    <row r="50" spans="1:26" s="28" customFormat="1" outlineLevel="1" collapsed="1" x14ac:dyDescent="0.3">
      <c r="A50" s="29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35.28</v>
      </c>
      <c r="E50" s="1"/>
      <c r="F50" s="5">
        <f t="shared" ref="F50:F56" si="38">IF(D$12=0,0,D50/D$12)</f>
        <v>2.1362992853570248E-3</v>
      </c>
      <c r="G50" s="1"/>
      <c r="H50" s="1">
        <f>SUM(OSRRefH22_2x_0)</f>
        <v>0</v>
      </c>
      <c r="I50" s="1"/>
      <c r="J50" s="5">
        <f t="shared" ref="J50:J56" si="39">IF(H$12=0,0,H50/H$12)</f>
        <v>0</v>
      </c>
      <c r="K50" s="1"/>
      <c r="L50" s="1">
        <f t="shared" ref="L50:L56" si="40">+D50-H50</f>
        <v>35.28</v>
      </c>
      <c r="M50" s="1"/>
      <c r="N50" s="5">
        <f t="shared" ref="N50:N56" si="41">IF(H50=0,0,L50/H50)</f>
        <v>0</v>
      </c>
      <c r="O50" s="14"/>
      <c r="P50" s="1">
        <f>SUM(OSRRefP22_2x_0)</f>
        <v>135.28</v>
      </c>
      <c r="Q50" s="1"/>
      <c r="R50" s="5">
        <f t="shared" ref="R50:R56" si="42">IF(P$12=0,0,P50/P$12)</f>
        <v>8.1915693685685464E-3</v>
      </c>
      <c r="S50" s="1"/>
      <c r="T50" s="1">
        <f>SUM(OSRRefT22_2x_0)</f>
        <v>0</v>
      </c>
      <c r="U50" s="1"/>
      <c r="V50" s="5">
        <f t="shared" ref="V50:V56" si="43">IF(T$12=0,0,T50/T$12)</f>
        <v>0</v>
      </c>
      <c r="W50" s="1"/>
      <c r="X50" s="1">
        <f t="shared" ref="X50:X56" si="44">+P50-T50</f>
        <v>135.28</v>
      </c>
      <c r="Y50" s="1"/>
      <c r="Z50" s="5">
        <f t="shared" ref="Z50:Z56" si="45">IF(T50=0,0,X50/T50)</f>
        <v>0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7">
        <v>35.28</v>
      </c>
      <c r="E51" s="2"/>
      <c r="F51" s="8">
        <f t="shared" si="38"/>
        <v>2.1362992853570248E-3</v>
      </c>
      <c r="G51" s="2"/>
      <c r="H51" s="7"/>
      <c r="I51" s="2"/>
      <c r="J51" s="8">
        <f t="shared" si="39"/>
        <v>0</v>
      </c>
      <c r="K51" s="2"/>
      <c r="L51" s="7">
        <f t="shared" si="40"/>
        <v>35.28</v>
      </c>
      <c r="M51" s="2"/>
      <c r="N51" s="8">
        <f t="shared" si="41"/>
        <v>0</v>
      </c>
      <c r="O51" s="11"/>
      <c r="P51" s="7">
        <v>135.28</v>
      </c>
      <c r="Q51" s="2"/>
      <c r="R51" s="8">
        <f t="shared" si="42"/>
        <v>8.1915693685685464E-3</v>
      </c>
      <c r="S51" s="2"/>
      <c r="T51" s="7"/>
      <c r="U51" s="2"/>
      <c r="V51" s="8">
        <f t="shared" si="43"/>
        <v>0</v>
      </c>
      <c r="W51" s="2"/>
      <c r="X51" s="7">
        <f t="shared" si="44"/>
        <v>135.28</v>
      </c>
      <c r="Y51" s="2"/>
      <c r="Z51" s="8">
        <f t="shared" si="45"/>
        <v>0</v>
      </c>
    </row>
    <row r="52" spans="1:26" s="28" customFormat="1" outlineLevel="1" collapsed="1" x14ac:dyDescent="0.3">
      <c r="A52" s="29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-1.66</v>
      </c>
      <c r="E52" s="1"/>
      <c r="F52" s="5">
        <f t="shared" si="38"/>
        <v>-1.0051748338131124E-4</v>
      </c>
      <c r="G52" s="1"/>
      <c r="H52" s="1">
        <f>SUM(OSRRefH22_3x_0)</f>
        <v>0.3</v>
      </c>
      <c r="I52" s="1"/>
      <c r="J52" s="5">
        <f t="shared" si="39"/>
        <v>2.4197568305702396E-5</v>
      </c>
      <c r="K52" s="1"/>
      <c r="L52" s="1">
        <f t="shared" si="40"/>
        <v>-1.96</v>
      </c>
      <c r="M52" s="1"/>
      <c r="N52" s="5">
        <f t="shared" si="41"/>
        <v>-6.5333333333333332</v>
      </c>
      <c r="O52" s="14"/>
      <c r="P52" s="1">
        <f>SUM(OSRRefP22_3x_0)</f>
        <v>-1.66</v>
      </c>
      <c r="Q52" s="1"/>
      <c r="R52" s="5">
        <f t="shared" si="42"/>
        <v>-1.0051748338131124E-4</v>
      </c>
      <c r="S52" s="1"/>
      <c r="T52" s="1">
        <f>SUM(OSRRefT22_3x_0)</f>
        <v>0.3</v>
      </c>
      <c r="U52" s="1"/>
      <c r="V52" s="5">
        <f t="shared" si="43"/>
        <v>2.4197568305702396E-5</v>
      </c>
      <c r="W52" s="1"/>
      <c r="X52" s="1">
        <f t="shared" si="44"/>
        <v>-1.96</v>
      </c>
      <c r="Y52" s="1"/>
      <c r="Z52" s="5">
        <f t="shared" si="45"/>
        <v>-6.5333333333333332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7">
        <v>-1.66</v>
      </c>
      <c r="E53" s="2"/>
      <c r="F53" s="8">
        <f t="shared" si="38"/>
        <v>-1.0051748338131124E-4</v>
      </c>
      <c r="G53" s="2"/>
      <c r="H53" s="7">
        <v>0.3</v>
      </c>
      <c r="I53" s="2"/>
      <c r="J53" s="8">
        <f t="shared" si="39"/>
        <v>2.4197568305702396E-5</v>
      </c>
      <c r="K53" s="2"/>
      <c r="L53" s="7">
        <f t="shared" si="40"/>
        <v>-1.96</v>
      </c>
      <c r="M53" s="2"/>
      <c r="N53" s="8">
        <f t="shared" si="41"/>
        <v>-6.5333333333333332</v>
      </c>
      <c r="O53" s="11"/>
      <c r="P53" s="7">
        <v>-1.66</v>
      </c>
      <c r="Q53" s="2"/>
      <c r="R53" s="8">
        <f t="shared" si="42"/>
        <v>-1.0051748338131124E-4</v>
      </c>
      <c r="S53" s="2"/>
      <c r="T53" s="7">
        <v>0.3</v>
      </c>
      <c r="U53" s="2"/>
      <c r="V53" s="8">
        <f t="shared" si="43"/>
        <v>2.4197568305702396E-5</v>
      </c>
      <c r="W53" s="2"/>
      <c r="X53" s="7">
        <f t="shared" si="44"/>
        <v>-1.96</v>
      </c>
      <c r="Y53" s="2"/>
      <c r="Z53" s="8">
        <f t="shared" si="45"/>
        <v>-6.5333333333333332</v>
      </c>
    </row>
    <row r="54" spans="1:26" s="28" customFormat="1" outlineLevel="1" collapsed="1" x14ac:dyDescent="0.3">
      <c r="A54" s="29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-69.38</v>
      </c>
      <c r="E54" s="1"/>
      <c r="F54" s="5">
        <f t="shared" si="38"/>
        <v>-4.201146383732153E-3</v>
      </c>
      <c r="G54" s="1"/>
      <c r="H54" s="1">
        <f>SUM(OSRRefH22_4x_0)</f>
        <v>0</v>
      </c>
      <c r="I54" s="1"/>
      <c r="J54" s="5">
        <f t="shared" si="39"/>
        <v>0</v>
      </c>
      <c r="K54" s="1"/>
      <c r="L54" s="1">
        <f t="shared" si="40"/>
        <v>-69.38</v>
      </c>
      <c r="M54" s="1"/>
      <c r="N54" s="5">
        <f t="shared" si="41"/>
        <v>0</v>
      </c>
      <c r="O54" s="14"/>
      <c r="P54" s="1">
        <f>SUM(OSRRefP22_4x_0)</f>
        <v>-69.38</v>
      </c>
      <c r="Q54" s="1"/>
      <c r="R54" s="5">
        <f t="shared" si="42"/>
        <v>-4.201146383732153E-3</v>
      </c>
      <c r="S54" s="1"/>
      <c r="T54" s="1">
        <f>SUM(OSRRefT22_4x_0)</f>
        <v>0</v>
      </c>
      <c r="U54" s="1"/>
      <c r="V54" s="5">
        <f t="shared" si="43"/>
        <v>0</v>
      </c>
      <c r="W54" s="1"/>
      <c r="X54" s="1">
        <f t="shared" si="44"/>
        <v>-69.38</v>
      </c>
      <c r="Y54" s="1"/>
      <c r="Z54" s="5">
        <f t="shared" si="45"/>
        <v>0</v>
      </c>
    </row>
    <row r="55" spans="1:26" s="24" customFormat="1" hidden="1" outlineLevel="2" x14ac:dyDescent="0.3">
      <c r="A55" s="27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8">
        <f t="shared" si="38"/>
        <v>0</v>
      </c>
      <c r="G55" s="2"/>
      <c r="H55" s="7">
        <v>0</v>
      </c>
      <c r="I55" s="2"/>
      <c r="J55" s="8">
        <f t="shared" si="39"/>
        <v>0</v>
      </c>
      <c r="K55" s="2"/>
      <c r="L55" s="7">
        <f t="shared" si="40"/>
        <v>0</v>
      </c>
      <c r="M55" s="2"/>
      <c r="N55" s="8">
        <f t="shared" si="41"/>
        <v>0</v>
      </c>
      <c r="O55" s="11"/>
      <c r="P55" s="7"/>
      <c r="Q55" s="2"/>
      <c r="R55" s="8">
        <f t="shared" si="42"/>
        <v>0</v>
      </c>
      <c r="S55" s="2"/>
      <c r="T55" s="7">
        <v>0</v>
      </c>
      <c r="U55" s="2"/>
      <c r="V55" s="8">
        <f t="shared" si="43"/>
        <v>0</v>
      </c>
      <c r="W55" s="2"/>
      <c r="X55" s="7">
        <f t="shared" si="44"/>
        <v>0</v>
      </c>
      <c r="Y55" s="2"/>
      <c r="Z55" s="8">
        <f t="shared" si="45"/>
        <v>0</v>
      </c>
    </row>
    <row r="56" spans="1:26" s="24" customFormat="1" hidden="1" outlineLevel="2" x14ac:dyDescent="0.3">
      <c r="A56" s="27"/>
      <c r="B56" s="11" t="str">
        <f>CONCATENATE("          ", "9175", " - ", "EARNED DISCOUNTS")</f>
        <v xml:space="preserve">          9175 - EARNED DISCOUNTS</v>
      </c>
      <c r="C56" s="11"/>
      <c r="D56" s="7">
        <v>-69.38</v>
      </c>
      <c r="E56" s="2"/>
      <c r="F56" s="8">
        <f t="shared" si="38"/>
        <v>-4.201146383732153E-3</v>
      </c>
      <c r="G56" s="2"/>
      <c r="H56" s="7"/>
      <c r="I56" s="2"/>
      <c r="J56" s="8">
        <f t="shared" si="39"/>
        <v>0</v>
      </c>
      <c r="K56" s="2"/>
      <c r="L56" s="7">
        <f t="shared" si="40"/>
        <v>-69.38</v>
      </c>
      <c r="M56" s="2"/>
      <c r="N56" s="8">
        <f t="shared" si="41"/>
        <v>0</v>
      </c>
      <c r="O56" s="11"/>
      <c r="P56" s="7">
        <v>-69.38</v>
      </c>
      <c r="Q56" s="2"/>
      <c r="R56" s="8">
        <f t="shared" si="42"/>
        <v>-4.201146383732153E-3</v>
      </c>
      <c r="S56" s="2"/>
      <c r="T56" s="7"/>
      <c r="U56" s="2"/>
      <c r="V56" s="8">
        <f t="shared" si="43"/>
        <v>0</v>
      </c>
      <c r="W56" s="2"/>
      <c r="X56" s="7">
        <f t="shared" si="44"/>
        <v>-69.38</v>
      </c>
      <c r="Y56" s="2"/>
      <c r="Z56" s="8">
        <f t="shared" si="45"/>
        <v>0</v>
      </c>
    </row>
    <row r="57" spans="1:26" s="28" customFormat="1" outlineLevel="1" collapsed="1" x14ac:dyDescent="0.3">
      <c r="A57" s="29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SUM(OSRRefD22_5x_0)</f>
        <v>20</v>
      </c>
      <c r="E57" s="1"/>
      <c r="F57" s="5">
        <f t="shared" ref="F57:F59" si="46">IF(D$12=0,0,D57/D$12)</f>
        <v>1.2110540166423043E-3</v>
      </c>
      <c r="G57" s="1"/>
      <c r="H57" s="1">
        <f>SUM(OSRRefH22_5x_0)</f>
        <v>0</v>
      </c>
      <c r="I57" s="1"/>
      <c r="J57" s="5">
        <f t="shared" ref="J57:J59" si="47">IF(H$12=0,0,H57/H$12)</f>
        <v>0</v>
      </c>
      <c r="K57" s="1"/>
      <c r="L57" s="1">
        <f t="shared" ref="L57:L59" si="48">+D57-H57</f>
        <v>20</v>
      </c>
      <c r="M57" s="1"/>
      <c r="N57" s="5">
        <f t="shared" ref="N57:N59" si="49">IF(H57=0,0,L57/H57)</f>
        <v>0</v>
      </c>
      <c r="O57" s="14"/>
      <c r="P57" s="1">
        <f>SUM(OSRRefP22_5x_0)</f>
        <v>20</v>
      </c>
      <c r="Q57" s="1"/>
      <c r="R57" s="5">
        <f t="shared" ref="R57:R59" si="50">IF(P$12=0,0,P57/P$12)</f>
        <v>1.2110540166423043E-3</v>
      </c>
      <c r="S57" s="1"/>
      <c r="T57" s="1">
        <f>SUM(OSRRefT22_5x_0)</f>
        <v>0</v>
      </c>
      <c r="U57" s="1"/>
      <c r="V57" s="5">
        <f t="shared" ref="V57:V59" si="51">IF(T$12=0,0,T57/T$12)</f>
        <v>0</v>
      </c>
      <c r="W57" s="1"/>
      <c r="X57" s="1">
        <f t="shared" ref="X57:X59" si="52">+P57-T57</f>
        <v>20</v>
      </c>
      <c r="Y57" s="1"/>
      <c r="Z57" s="5">
        <f t="shared" ref="Z57:Z59" si="53">IF(T57=0,0,X57/T57)</f>
        <v>0</v>
      </c>
    </row>
    <row r="58" spans="1:26" s="24" customFormat="1" hidden="1" outlineLevel="2" x14ac:dyDescent="0.3">
      <c r="A58" s="27"/>
      <c r="B58" s="11" t="str">
        <f>CONCATENATE("          ", "6305", " - ", "FREIGHT OUT")</f>
        <v xml:space="preserve">          6305 - FREIGHT OUT</v>
      </c>
      <c r="C58" s="11"/>
      <c r="D58" s="7"/>
      <c r="E58" s="2"/>
      <c r="F58" s="8">
        <f t="shared" si="46"/>
        <v>0</v>
      </c>
      <c r="G58" s="2"/>
      <c r="H58" s="7"/>
      <c r="I58" s="2"/>
      <c r="J58" s="8">
        <f t="shared" si="47"/>
        <v>0</v>
      </c>
      <c r="K58" s="2"/>
      <c r="L58" s="7">
        <f t="shared" si="48"/>
        <v>0</v>
      </c>
      <c r="M58" s="2"/>
      <c r="N58" s="8">
        <f t="shared" si="49"/>
        <v>0</v>
      </c>
      <c r="O58" s="11"/>
      <c r="P58" s="7"/>
      <c r="Q58" s="2"/>
      <c r="R58" s="8">
        <f t="shared" si="50"/>
        <v>0</v>
      </c>
      <c r="S58" s="2"/>
      <c r="T58" s="7">
        <v>0</v>
      </c>
      <c r="U58" s="2"/>
      <c r="V58" s="8">
        <f t="shared" si="51"/>
        <v>0</v>
      </c>
      <c r="W58" s="2"/>
      <c r="X58" s="7">
        <f t="shared" si="52"/>
        <v>0</v>
      </c>
      <c r="Y58" s="2"/>
      <c r="Z58" s="8">
        <f t="shared" si="53"/>
        <v>0</v>
      </c>
    </row>
    <row r="59" spans="1:26" s="24" customFormat="1" hidden="1" outlineLevel="2" x14ac:dyDescent="0.3">
      <c r="A59" s="27"/>
      <c r="B59" s="11" t="str">
        <f>CONCATENATE("          ", "6307", " - ", "POSTAGE")</f>
        <v xml:space="preserve">          6307 - POSTAGE</v>
      </c>
      <c r="C59" s="11"/>
      <c r="D59" s="7">
        <v>20</v>
      </c>
      <c r="E59" s="2"/>
      <c r="F59" s="8">
        <f t="shared" si="46"/>
        <v>1.2110540166423043E-3</v>
      </c>
      <c r="G59" s="2"/>
      <c r="H59" s="7"/>
      <c r="I59" s="2"/>
      <c r="J59" s="8">
        <f t="shared" si="47"/>
        <v>0</v>
      </c>
      <c r="K59" s="2"/>
      <c r="L59" s="7">
        <f t="shared" si="48"/>
        <v>20</v>
      </c>
      <c r="M59" s="2"/>
      <c r="N59" s="8">
        <f t="shared" si="49"/>
        <v>0</v>
      </c>
      <c r="O59" s="11"/>
      <c r="P59" s="7">
        <v>20</v>
      </c>
      <c r="Q59" s="2"/>
      <c r="R59" s="8">
        <f t="shared" si="50"/>
        <v>1.2110540166423043E-3</v>
      </c>
      <c r="S59" s="2"/>
      <c r="T59" s="7"/>
      <c r="U59" s="2"/>
      <c r="V59" s="8">
        <f t="shared" si="51"/>
        <v>0</v>
      </c>
      <c r="W59" s="2"/>
      <c r="X59" s="7">
        <f t="shared" si="52"/>
        <v>20</v>
      </c>
      <c r="Y59" s="2"/>
      <c r="Z59" s="8">
        <f t="shared" si="53"/>
        <v>0</v>
      </c>
    </row>
    <row r="60" spans="1:26" s="28" customFormat="1" outlineLevel="1" collapsed="1" x14ac:dyDescent="0.3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SUM(OSRRefD22_6x_0)</f>
        <v>228.04</v>
      </c>
      <c r="E60" s="1"/>
      <c r="F60" s="5">
        <f t="shared" ref="F60:F66" si="54">IF(D$12=0,0,D60/D$12)</f>
        <v>1.3808437897755552E-2</v>
      </c>
      <c r="G60" s="1"/>
      <c r="H60" s="1">
        <f>SUM(OSRRefH22_6x_0)</f>
        <v>0</v>
      </c>
      <c r="I60" s="1"/>
      <c r="J60" s="5">
        <f t="shared" ref="J60:J66" si="55">IF(H$12=0,0,H60/H$12)</f>
        <v>0</v>
      </c>
      <c r="K60" s="1"/>
      <c r="L60" s="1">
        <f t="shared" ref="L60:L66" si="56">+D60-H60</f>
        <v>228.04</v>
      </c>
      <c r="M60" s="1"/>
      <c r="N60" s="5">
        <f t="shared" ref="N60:N66" si="57">IF(H60=0,0,L60/H60)</f>
        <v>0</v>
      </c>
      <c r="O60" s="14"/>
      <c r="P60" s="1">
        <f>SUM(OSRRefP22_6x_0)</f>
        <v>228.04</v>
      </c>
      <c r="Q60" s="1"/>
      <c r="R60" s="5">
        <f t="shared" ref="R60:R66" si="58">IF(P$12=0,0,P60/P$12)</f>
        <v>1.3808437897755552E-2</v>
      </c>
      <c r="S60" s="1"/>
      <c r="T60" s="1">
        <f>SUM(OSRRefT22_6x_0)</f>
        <v>719.55</v>
      </c>
      <c r="U60" s="1"/>
      <c r="V60" s="5">
        <f t="shared" ref="V60:V66" si="59">IF(T$12=0,0,T60/T$12)</f>
        <v>5.8037867581227198E-2</v>
      </c>
      <c r="W60" s="1"/>
      <c r="X60" s="1">
        <f t="shared" ref="X60:X66" si="60">+P60-T60</f>
        <v>-491.51</v>
      </c>
      <c r="Y60" s="1"/>
      <c r="Z60" s="5">
        <f t="shared" ref="Z60:Z66" si="61">IF(T60=0,0,X60/T60)</f>
        <v>-0.68307970259189776</v>
      </c>
    </row>
    <row r="61" spans="1:26" s="24" customFormat="1" hidden="1" outlineLevel="2" x14ac:dyDescent="0.3">
      <c r="A61" s="27"/>
      <c r="B61" s="11" t="str">
        <f>CONCATENATE("          ", "6279", " - ", "GENERAL EXPENSE")</f>
        <v xml:space="preserve">          6279 - GENERAL EXPENSE</v>
      </c>
      <c r="C61" s="11"/>
      <c r="D61" s="7">
        <v>228.04</v>
      </c>
      <c r="E61" s="2"/>
      <c r="F61" s="8">
        <f t="shared" si="54"/>
        <v>1.3808437897755552E-2</v>
      </c>
      <c r="G61" s="2"/>
      <c r="H61" s="7"/>
      <c r="I61" s="2"/>
      <c r="J61" s="8">
        <f t="shared" si="55"/>
        <v>0</v>
      </c>
      <c r="K61" s="2"/>
      <c r="L61" s="7">
        <f t="shared" si="56"/>
        <v>228.04</v>
      </c>
      <c r="M61" s="2"/>
      <c r="N61" s="8">
        <f t="shared" si="57"/>
        <v>0</v>
      </c>
      <c r="O61" s="11"/>
      <c r="P61" s="7">
        <v>228.04</v>
      </c>
      <c r="Q61" s="2"/>
      <c r="R61" s="8">
        <f t="shared" si="58"/>
        <v>1.3808437897755552E-2</v>
      </c>
      <c r="S61" s="2"/>
      <c r="T61" s="7">
        <v>719.55</v>
      </c>
      <c r="U61" s="2"/>
      <c r="V61" s="8">
        <f t="shared" si="59"/>
        <v>5.8037867581227198E-2</v>
      </c>
      <c r="W61" s="2"/>
      <c r="X61" s="7">
        <f t="shared" si="60"/>
        <v>-491.51</v>
      </c>
      <c r="Y61" s="2"/>
      <c r="Z61" s="8">
        <f t="shared" si="61"/>
        <v>-0.68307970259189776</v>
      </c>
    </row>
    <row r="62" spans="1:26" s="28" customFormat="1" outlineLevel="1" collapsed="1" x14ac:dyDescent="0.3">
      <c r="A62" s="29"/>
      <c r="B62" s="14" t="str">
        <f>CONCATENATE("     ","Inventory Adjustment                              ")</f>
        <v xml:space="preserve">     Inventory Adjustment                              </v>
      </c>
      <c r="C62" s="14"/>
      <c r="D62" s="1">
        <f>SUM(OSRRefD22_7x_0)</f>
        <v>650</v>
      </c>
      <c r="E62" s="1"/>
      <c r="F62" s="5">
        <f t="shared" si="54"/>
        <v>3.9359255540874889E-2</v>
      </c>
      <c r="G62" s="1"/>
      <c r="H62" s="1">
        <f>SUM(OSRRefH22_7x_0)</f>
        <v>0</v>
      </c>
      <c r="I62" s="1"/>
      <c r="J62" s="5">
        <f t="shared" si="55"/>
        <v>0</v>
      </c>
      <c r="K62" s="1"/>
      <c r="L62" s="1">
        <f t="shared" si="56"/>
        <v>650</v>
      </c>
      <c r="M62" s="1"/>
      <c r="N62" s="5">
        <f t="shared" si="57"/>
        <v>0</v>
      </c>
      <c r="O62" s="14"/>
      <c r="P62" s="1">
        <f>SUM(OSRRefP22_7x_0)</f>
        <v>1300</v>
      </c>
      <c r="Q62" s="1"/>
      <c r="R62" s="5">
        <f t="shared" si="58"/>
        <v>7.8718511081749779E-2</v>
      </c>
      <c r="S62" s="1"/>
      <c r="T62" s="1">
        <f>SUM(OSRRefT22_7x_0)</f>
        <v>0</v>
      </c>
      <c r="U62" s="1"/>
      <c r="V62" s="5">
        <f t="shared" si="59"/>
        <v>0</v>
      </c>
      <c r="W62" s="1"/>
      <c r="X62" s="1">
        <f t="shared" si="60"/>
        <v>1300</v>
      </c>
      <c r="Y62" s="1"/>
      <c r="Z62" s="5">
        <f t="shared" si="61"/>
        <v>0</v>
      </c>
    </row>
    <row r="63" spans="1:26" s="24" customFormat="1" hidden="1" outlineLevel="2" x14ac:dyDescent="0.3">
      <c r="A63" s="27"/>
      <c r="B63" s="11" t="str">
        <f>CONCATENATE("          ", "6408", " - ", "INVENTORY ADJUSTMENT")</f>
        <v xml:space="preserve">          6408 - INVENTORY ADJUSTMENT</v>
      </c>
      <c r="C63" s="11"/>
      <c r="D63" s="7">
        <v>650</v>
      </c>
      <c r="E63" s="2"/>
      <c r="F63" s="8">
        <f t="shared" si="54"/>
        <v>3.9359255540874889E-2</v>
      </c>
      <c r="G63" s="2"/>
      <c r="H63" s="7"/>
      <c r="I63" s="2"/>
      <c r="J63" s="8">
        <f t="shared" si="55"/>
        <v>0</v>
      </c>
      <c r="K63" s="2"/>
      <c r="L63" s="7">
        <f t="shared" si="56"/>
        <v>650</v>
      </c>
      <c r="M63" s="2"/>
      <c r="N63" s="8">
        <f t="shared" si="57"/>
        <v>0</v>
      </c>
      <c r="O63" s="11"/>
      <c r="P63" s="7">
        <v>1300</v>
      </c>
      <c r="Q63" s="2"/>
      <c r="R63" s="8">
        <f t="shared" si="58"/>
        <v>7.8718511081749779E-2</v>
      </c>
      <c r="S63" s="2"/>
      <c r="T63" s="7"/>
      <c r="U63" s="2"/>
      <c r="V63" s="8">
        <f t="shared" si="59"/>
        <v>0</v>
      </c>
      <c r="W63" s="2"/>
      <c r="X63" s="7">
        <f t="shared" si="60"/>
        <v>1300</v>
      </c>
      <c r="Y63" s="2"/>
      <c r="Z63" s="8">
        <f t="shared" si="61"/>
        <v>0</v>
      </c>
    </row>
    <row r="64" spans="1:26" s="28" customFormat="1" outlineLevel="1" collapsed="1" x14ac:dyDescent="0.3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SUM(OSRRefD22_8x_0)</f>
        <v>173.68</v>
      </c>
      <c r="E64" s="1"/>
      <c r="F64" s="5">
        <f t="shared" si="54"/>
        <v>1.051679308052177E-2</v>
      </c>
      <c r="G64" s="1"/>
      <c r="H64" s="1">
        <f>SUM(OSRRefH22_8x_0)</f>
        <v>78.599999999999994</v>
      </c>
      <c r="I64" s="1"/>
      <c r="J64" s="5">
        <f t="shared" si="55"/>
        <v>6.3397628960940276E-3</v>
      </c>
      <c r="K64" s="1"/>
      <c r="L64" s="1">
        <f t="shared" si="56"/>
        <v>95.080000000000013</v>
      </c>
      <c r="M64" s="1"/>
      <c r="N64" s="5">
        <f t="shared" si="57"/>
        <v>1.2096692111959291</v>
      </c>
      <c r="O64" s="14"/>
      <c r="P64" s="1">
        <f>SUM(OSRRefP22_8x_0)</f>
        <v>173.68</v>
      </c>
      <c r="Q64" s="1"/>
      <c r="R64" s="5">
        <f t="shared" si="58"/>
        <v>1.051679308052177E-2</v>
      </c>
      <c r="S64" s="1"/>
      <c r="T64" s="1">
        <f>SUM(OSRRefT22_8x_0)</f>
        <v>78.599999999999994</v>
      </c>
      <c r="U64" s="1"/>
      <c r="V64" s="5">
        <f t="shared" si="59"/>
        <v>6.3397628960940276E-3</v>
      </c>
      <c r="W64" s="1"/>
      <c r="X64" s="1">
        <f t="shared" si="60"/>
        <v>95.080000000000013</v>
      </c>
      <c r="Y64" s="1"/>
      <c r="Z64" s="5">
        <f t="shared" si="61"/>
        <v>1.2096692111959291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7"/>
      <c r="E65" s="2"/>
      <c r="F65" s="8">
        <f t="shared" si="54"/>
        <v>0</v>
      </c>
      <c r="G65" s="2"/>
      <c r="H65" s="7">
        <v>78.599999999999994</v>
      </c>
      <c r="I65" s="2"/>
      <c r="J65" s="8">
        <f t="shared" si="55"/>
        <v>6.3397628960940276E-3</v>
      </c>
      <c r="K65" s="2"/>
      <c r="L65" s="7">
        <f t="shared" si="56"/>
        <v>-78.599999999999994</v>
      </c>
      <c r="M65" s="2"/>
      <c r="N65" s="8">
        <f t="shared" si="57"/>
        <v>-1</v>
      </c>
      <c r="O65" s="11"/>
      <c r="P65" s="7"/>
      <c r="Q65" s="2"/>
      <c r="R65" s="8">
        <f t="shared" si="58"/>
        <v>0</v>
      </c>
      <c r="S65" s="2"/>
      <c r="T65" s="7">
        <v>78.599999999999994</v>
      </c>
      <c r="U65" s="2"/>
      <c r="V65" s="8">
        <f t="shared" si="59"/>
        <v>6.3397628960940276E-3</v>
      </c>
      <c r="W65" s="2"/>
      <c r="X65" s="7">
        <f t="shared" si="60"/>
        <v>-78.599999999999994</v>
      </c>
      <c r="Y65" s="2"/>
      <c r="Z65" s="8">
        <f t="shared" si="61"/>
        <v>-1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173.68</v>
      </c>
      <c r="E66" s="2"/>
      <c r="F66" s="8">
        <f t="shared" si="54"/>
        <v>1.051679308052177E-2</v>
      </c>
      <c r="G66" s="2"/>
      <c r="H66" s="7"/>
      <c r="I66" s="2"/>
      <c r="J66" s="8">
        <f t="shared" si="55"/>
        <v>0</v>
      </c>
      <c r="K66" s="2"/>
      <c r="L66" s="7">
        <f t="shared" si="56"/>
        <v>173.68</v>
      </c>
      <c r="M66" s="2"/>
      <c r="N66" s="8">
        <f t="shared" si="57"/>
        <v>0</v>
      </c>
      <c r="O66" s="11"/>
      <c r="P66" s="7">
        <v>173.68</v>
      </c>
      <c r="Q66" s="2"/>
      <c r="R66" s="8">
        <f t="shared" si="58"/>
        <v>1.051679308052177E-2</v>
      </c>
      <c r="S66" s="2"/>
      <c r="T66" s="7"/>
      <c r="U66" s="2"/>
      <c r="V66" s="8">
        <f t="shared" si="59"/>
        <v>0</v>
      </c>
      <c r="W66" s="2"/>
      <c r="X66" s="7">
        <f t="shared" si="60"/>
        <v>173.68</v>
      </c>
      <c r="Y66" s="2"/>
      <c r="Z66" s="8">
        <f t="shared" si="61"/>
        <v>0</v>
      </c>
    </row>
    <row r="67" spans="1:26" s="28" customFormat="1" outlineLevel="1" collapsed="1" x14ac:dyDescent="0.3">
      <c r="A67" s="29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SUM(OSRRefD22_9x_0)</f>
        <v>2301.4899999999998</v>
      </c>
      <c r="E67" s="1"/>
      <c r="F67" s="5">
        <f t="shared" ref="F67:F69" si="62">IF(D$12=0,0,D67/D$12)</f>
        <v>0.13936143543810484</v>
      </c>
      <c r="G67" s="1"/>
      <c r="H67" s="1">
        <f>SUM(OSRRefH22_9x_0)</f>
        <v>44</v>
      </c>
      <c r="I67" s="1"/>
      <c r="J67" s="5">
        <f t="shared" ref="J67:J69" si="63">IF(H$12=0,0,H67/H$12)</f>
        <v>3.5489766848363518E-3</v>
      </c>
      <c r="K67" s="1"/>
      <c r="L67" s="1">
        <f t="shared" ref="L67:L69" si="64">+D67-H67</f>
        <v>2257.4899999999998</v>
      </c>
      <c r="M67" s="1"/>
      <c r="N67" s="5">
        <f t="shared" ref="N67:N69" si="65">IF(H67=0,0,L67/H67)</f>
        <v>51.306590909090907</v>
      </c>
      <c r="O67" s="14"/>
      <c r="P67" s="1">
        <f>SUM(OSRRefP22_9x_0)</f>
        <v>2301.4899999999998</v>
      </c>
      <c r="Q67" s="1"/>
      <c r="R67" s="5">
        <f t="shared" ref="R67:R69" si="66">IF(P$12=0,0,P67/P$12)</f>
        <v>0.13936143543810484</v>
      </c>
      <c r="S67" s="1"/>
      <c r="T67" s="1">
        <f>SUM(OSRRefT22_9x_0)</f>
        <v>-69.5</v>
      </c>
      <c r="U67" s="1"/>
      <c r="V67" s="5">
        <f t="shared" ref="V67:V69" si="67">IF(T$12=0,0,T67/T$12)</f>
        <v>-5.6057699908210554E-3</v>
      </c>
      <c r="W67" s="1"/>
      <c r="X67" s="1">
        <f t="shared" ref="X67:X69" si="68">+P67-T67</f>
        <v>2370.9899999999998</v>
      </c>
      <c r="Y67" s="1"/>
      <c r="Z67" s="5">
        <f t="shared" ref="Z67:Z69" si="69">IF(T67=0,0,X67/T67)</f>
        <v>-34.114964028776974</v>
      </c>
    </row>
    <row r="68" spans="1:26" s="24" customFormat="1" hidden="1" outlineLevel="2" x14ac:dyDescent="0.3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7"/>
      <c r="E68" s="2"/>
      <c r="F68" s="8">
        <f t="shared" si="62"/>
        <v>0</v>
      </c>
      <c r="G68" s="2"/>
      <c r="H68" s="7">
        <v>44</v>
      </c>
      <c r="I68" s="2"/>
      <c r="J68" s="8">
        <f t="shared" si="63"/>
        <v>3.5489766848363518E-3</v>
      </c>
      <c r="K68" s="2"/>
      <c r="L68" s="7">
        <f t="shared" si="64"/>
        <v>-44</v>
      </c>
      <c r="M68" s="2"/>
      <c r="N68" s="8">
        <f t="shared" si="65"/>
        <v>-1</v>
      </c>
      <c r="O68" s="11"/>
      <c r="P68" s="7"/>
      <c r="Q68" s="2"/>
      <c r="R68" s="8">
        <f t="shared" si="66"/>
        <v>0</v>
      </c>
      <c r="S68" s="2"/>
      <c r="T68" s="7">
        <v>88</v>
      </c>
      <c r="U68" s="2"/>
      <c r="V68" s="8">
        <f t="shared" si="67"/>
        <v>7.0979533696727036E-3</v>
      </c>
      <c r="W68" s="2"/>
      <c r="X68" s="7">
        <f t="shared" si="68"/>
        <v>-88</v>
      </c>
      <c r="Y68" s="2"/>
      <c r="Z68" s="8">
        <f t="shared" si="69"/>
        <v>-1</v>
      </c>
    </row>
    <row r="69" spans="1:26" s="24" customFormat="1" hidden="1" outlineLevel="2" x14ac:dyDescent="0.3">
      <c r="A69" s="27"/>
      <c r="B69" s="11" t="str">
        <f>CONCATENATE("          ", "6285", " - ", "JANITORIAL SERVICES")</f>
        <v xml:space="preserve">          6285 - JANITORIAL SERVICES</v>
      </c>
      <c r="C69" s="11"/>
      <c r="D69" s="7">
        <v>2301.4899999999998</v>
      </c>
      <c r="E69" s="2"/>
      <c r="F69" s="8">
        <f t="shared" si="62"/>
        <v>0.13936143543810484</v>
      </c>
      <c r="G69" s="2"/>
      <c r="H69" s="7"/>
      <c r="I69" s="2"/>
      <c r="J69" s="8">
        <f t="shared" si="63"/>
        <v>0</v>
      </c>
      <c r="K69" s="2"/>
      <c r="L69" s="7">
        <f t="shared" si="64"/>
        <v>2301.4899999999998</v>
      </c>
      <c r="M69" s="2"/>
      <c r="N69" s="8">
        <f t="shared" si="65"/>
        <v>0</v>
      </c>
      <c r="O69" s="11"/>
      <c r="P69" s="7">
        <v>2301.4899999999998</v>
      </c>
      <c r="Q69" s="2"/>
      <c r="R69" s="8">
        <f t="shared" si="66"/>
        <v>0.13936143543810484</v>
      </c>
      <c r="S69" s="2"/>
      <c r="T69" s="7">
        <v>-157.5</v>
      </c>
      <c r="U69" s="2"/>
      <c r="V69" s="8">
        <f t="shared" si="67"/>
        <v>-1.2703723360493758E-2</v>
      </c>
      <c r="W69" s="2"/>
      <c r="X69" s="7">
        <f t="shared" si="68"/>
        <v>2458.9899999999998</v>
      </c>
      <c r="Y69" s="2"/>
      <c r="Z69" s="8">
        <f t="shared" si="69"/>
        <v>-15.612634920634919</v>
      </c>
    </row>
    <row r="70" spans="1:26" s="28" customFormat="1" outlineLevel="1" collapsed="1" x14ac:dyDescent="0.3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SUM(OSRRefD22_10x_0)</f>
        <v>100.05</v>
      </c>
      <c r="E70" s="1"/>
      <c r="F70" s="5">
        <f t="shared" ref="F70:F73" si="70">IF(D$12=0,0,D70/D$12)</f>
        <v>6.0582977182531269E-3</v>
      </c>
      <c r="G70" s="1"/>
      <c r="H70" s="1">
        <f>SUM(OSRRefH22_10x_0)</f>
        <v>485.36</v>
      </c>
      <c r="I70" s="1"/>
      <c r="J70" s="5">
        <f t="shared" ref="J70:J73" si="71">IF(H$12=0,0,H70/H$12)</f>
        <v>3.9148439176185719E-2</v>
      </c>
      <c r="K70" s="1"/>
      <c r="L70" s="1">
        <f t="shared" ref="L70:L73" si="72">+D70-H70</f>
        <v>-385.31</v>
      </c>
      <c r="M70" s="1"/>
      <c r="N70" s="5">
        <f t="shared" ref="N70:N73" si="73">IF(H70=0,0,L70/H70)</f>
        <v>-0.79386434811274109</v>
      </c>
      <c r="O70" s="14"/>
      <c r="P70" s="1">
        <f>SUM(OSRRefP22_10x_0)</f>
        <v>100.05</v>
      </c>
      <c r="Q70" s="1"/>
      <c r="R70" s="5">
        <f t="shared" ref="R70:R73" si="74">IF(P$12=0,0,P70/P$12)</f>
        <v>6.0582977182531269E-3</v>
      </c>
      <c r="S70" s="1"/>
      <c r="T70" s="1">
        <f>SUM(OSRRefT22_10x_0)</f>
        <v>929.66</v>
      </c>
      <c r="U70" s="1"/>
      <c r="V70" s="5">
        <f t="shared" ref="V70:V73" si="75">IF(T$12=0,0,T70/T$12)</f>
        <v>7.4985037836930973E-2</v>
      </c>
      <c r="W70" s="1"/>
      <c r="X70" s="1">
        <f t="shared" ref="X70:X73" si="76">+P70-T70</f>
        <v>-829.61</v>
      </c>
      <c r="Y70" s="1"/>
      <c r="Z70" s="5">
        <f t="shared" ref="Z70:Z73" si="77">IF(T70=0,0,X70/T70)</f>
        <v>-0.89238000989609112</v>
      </c>
    </row>
    <row r="71" spans="1:26" s="24" customFormat="1" hidden="1" outlineLevel="2" x14ac:dyDescent="0.3">
      <c r="A71" s="27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8">
        <f t="shared" si="70"/>
        <v>0</v>
      </c>
      <c r="G71" s="2"/>
      <c r="H71" s="7"/>
      <c r="I71" s="2"/>
      <c r="J71" s="8">
        <f t="shared" si="71"/>
        <v>0</v>
      </c>
      <c r="K71" s="2"/>
      <c r="L71" s="7">
        <f t="shared" si="72"/>
        <v>0</v>
      </c>
      <c r="M71" s="2"/>
      <c r="N71" s="8">
        <f t="shared" si="73"/>
        <v>0</v>
      </c>
      <c r="O71" s="11"/>
      <c r="P71" s="7"/>
      <c r="Q71" s="2"/>
      <c r="R71" s="8">
        <f t="shared" si="74"/>
        <v>0</v>
      </c>
      <c r="S71" s="2"/>
      <c r="T71" s="7">
        <v>444.3</v>
      </c>
      <c r="U71" s="2"/>
      <c r="V71" s="8">
        <f t="shared" si="75"/>
        <v>3.5836598660745254E-2</v>
      </c>
      <c r="W71" s="2"/>
      <c r="X71" s="7">
        <f t="shared" si="76"/>
        <v>-444.3</v>
      </c>
      <c r="Y71" s="2"/>
      <c r="Z71" s="8">
        <f t="shared" si="77"/>
        <v>-1</v>
      </c>
    </row>
    <row r="72" spans="1:26" s="24" customFormat="1" hidden="1" outlineLevel="2" x14ac:dyDescent="0.3">
      <c r="A72" s="27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8">
        <f t="shared" si="70"/>
        <v>0</v>
      </c>
      <c r="G72" s="2"/>
      <c r="H72" s="7">
        <v>225.24</v>
      </c>
      <c r="I72" s="2"/>
      <c r="J72" s="8">
        <f t="shared" si="71"/>
        <v>1.8167534283921361E-2</v>
      </c>
      <c r="K72" s="2"/>
      <c r="L72" s="7">
        <f t="shared" si="72"/>
        <v>-225.24</v>
      </c>
      <c r="M72" s="2"/>
      <c r="N72" s="8">
        <f t="shared" si="73"/>
        <v>-1</v>
      </c>
      <c r="O72" s="11"/>
      <c r="P72" s="7"/>
      <c r="Q72" s="2"/>
      <c r="R72" s="8">
        <f t="shared" si="74"/>
        <v>0</v>
      </c>
      <c r="S72" s="2"/>
      <c r="T72" s="7">
        <v>225.24</v>
      </c>
      <c r="U72" s="2"/>
      <c r="V72" s="8">
        <f t="shared" si="75"/>
        <v>1.8167534283921361E-2</v>
      </c>
      <c r="W72" s="2"/>
      <c r="X72" s="7">
        <f t="shared" si="76"/>
        <v>-225.24</v>
      </c>
      <c r="Y72" s="2"/>
      <c r="Z72" s="8">
        <f t="shared" si="77"/>
        <v>-1</v>
      </c>
    </row>
    <row r="73" spans="1:26" s="24" customFormat="1" hidden="1" outlineLevel="2" x14ac:dyDescent="0.3">
      <c r="A73" s="27"/>
      <c r="B73" s="11" t="str">
        <f>CONCATENATE("          ", "6247", " - ", "STORE SUPPLIES")</f>
        <v xml:space="preserve">          6247 - STORE SUPPLIES</v>
      </c>
      <c r="C73" s="11"/>
      <c r="D73" s="7">
        <v>100.05</v>
      </c>
      <c r="E73" s="2"/>
      <c r="F73" s="8">
        <f t="shared" si="70"/>
        <v>6.0582977182531269E-3</v>
      </c>
      <c r="G73" s="2"/>
      <c r="H73" s="7">
        <v>260.12</v>
      </c>
      <c r="I73" s="2"/>
      <c r="J73" s="8">
        <f t="shared" si="71"/>
        <v>2.0980904892264361E-2</v>
      </c>
      <c r="K73" s="2"/>
      <c r="L73" s="7">
        <f t="shared" si="72"/>
        <v>-160.07</v>
      </c>
      <c r="M73" s="2"/>
      <c r="N73" s="8">
        <f t="shared" si="73"/>
        <v>-0.61536982930954942</v>
      </c>
      <c r="O73" s="11"/>
      <c r="P73" s="7">
        <v>100.05</v>
      </c>
      <c r="Q73" s="2"/>
      <c r="R73" s="8">
        <f t="shared" si="74"/>
        <v>6.0582977182531269E-3</v>
      </c>
      <c r="S73" s="2"/>
      <c r="T73" s="7">
        <v>260.12</v>
      </c>
      <c r="U73" s="2"/>
      <c r="V73" s="8">
        <f t="shared" si="75"/>
        <v>2.0980904892264361E-2</v>
      </c>
      <c r="W73" s="2"/>
      <c r="X73" s="7">
        <f t="shared" si="76"/>
        <v>-160.07</v>
      </c>
      <c r="Y73" s="2"/>
      <c r="Z73" s="8">
        <f t="shared" si="77"/>
        <v>-0.61536982930954942</v>
      </c>
    </row>
    <row r="74" spans="1:26" s="28" customFormat="1" outlineLevel="1" collapsed="1" x14ac:dyDescent="0.3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SUM(OSRRefD22_11x_0)</f>
        <v>53</v>
      </c>
      <c r="E74" s="1"/>
      <c r="F74" s="5">
        <f t="shared" ref="F74:F75" si="78">IF(D$12=0,0,D74/D$12)</f>
        <v>3.2092931441021063E-3</v>
      </c>
      <c r="G74" s="1"/>
      <c r="H74" s="1">
        <f>SUM(OSRRefH22_11x_0)</f>
        <v>53</v>
      </c>
      <c r="I74" s="1"/>
      <c r="J74" s="5">
        <f t="shared" ref="J74:J75" si="79">IF(H$12=0,0,H74/H$12)</f>
        <v>4.2749037340074235E-3</v>
      </c>
      <c r="K74" s="1"/>
      <c r="L74" s="1">
        <f t="shared" ref="L74:L75" si="80">+D74-H74</f>
        <v>0</v>
      </c>
      <c r="M74" s="1"/>
      <c r="N74" s="5">
        <f t="shared" ref="N74:N75" si="81">IF(H74=0,0,L74/H74)</f>
        <v>0</v>
      </c>
      <c r="O74" s="14"/>
      <c r="P74" s="1">
        <f>SUM(OSRRefP22_11x_0)</f>
        <v>66</v>
      </c>
      <c r="Q74" s="1"/>
      <c r="R74" s="5">
        <f t="shared" ref="R74:R75" si="82">IF(P$12=0,0,P74/P$12)</f>
        <v>3.996478254919604E-3</v>
      </c>
      <c r="S74" s="1"/>
      <c r="T74" s="1">
        <f>SUM(OSRRefT22_11x_0)</f>
        <v>106</v>
      </c>
      <c r="U74" s="1"/>
      <c r="V74" s="5">
        <f t="shared" ref="V74:V75" si="83">IF(T$12=0,0,T74/T$12)</f>
        <v>8.5498074680148469E-3</v>
      </c>
      <c r="W74" s="1"/>
      <c r="X74" s="1">
        <f t="shared" ref="X74:X75" si="84">+P74-T74</f>
        <v>-40</v>
      </c>
      <c r="Y74" s="1"/>
      <c r="Z74" s="5">
        <f t="shared" ref="Z74:Z75" si="85">IF(T74=0,0,X74/T74)</f>
        <v>-0.37735849056603776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7">
        <v>53</v>
      </c>
      <c r="E75" s="2"/>
      <c r="F75" s="8">
        <f t="shared" si="78"/>
        <v>3.2092931441021063E-3</v>
      </c>
      <c r="G75" s="2"/>
      <c r="H75" s="7">
        <v>53</v>
      </c>
      <c r="I75" s="2"/>
      <c r="J75" s="8">
        <f t="shared" si="79"/>
        <v>4.2749037340074235E-3</v>
      </c>
      <c r="K75" s="2"/>
      <c r="L75" s="7">
        <f t="shared" si="80"/>
        <v>0</v>
      </c>
      <c r="M75" s="2"/>
      <c r="N75" s="8">
        <f t="shared" si="81"/>
        <v>0</v>
      </c>
      <c r="O75" s="11"/>
      <c r="P75" s="7">
        <v>66</v>
      </c>
      <c r="Q75" s="2"/>
      <c r="R75" s="8">
        <f t="shared" si="82"/>
        <v>3.996478254919604E-3</v>
      </c>
      <c r="S75" s="2"/>
      <c r="T75" s="7">
        <v>106</v>
      </c>
      <c r="U75" s="2"/>
      <c r="V75" s="8">
        <f t="shared" si="83"/>
        <v>8.5498074680148469E-3</v>
      </c>
      <c r="W75" s="2"/>
      <c r="X75" s="7">
        <f t="shared" si="84"/>
        <v>-40</v>
      </c>
      <c r="Y75" s="2"/>
      <c r="Z75" s="8">
        <f t="shared" si="85"/>
        <v>-0.37735849056603776</v>
      </c>
    </row>
    <row r="76" spans="1:26" s="61" customFormat="1" x14ac:dyDescent="0.3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3">
      <c r="A77" s="10"/>
      <c r="B77" s="26" t="s">
        <v>292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6"/>
      <c r="G78" s="3"/>
      <c r="H78" s="3"/>
      <c r="I78" s="3"/>
      <c r="J78" s="6"/>
      <c r="K78" s="3"/>
      <c r="L78" s="3"/>
      <c r="M78" s="3"/>
      <c r="N78" s="6"/>
      <c r="O78" s="10"/>
      <c r="P78" s="3"/>
      <c r="Q78" s="3"/>
      <c r="R78" s="6"/>
      <c r="S78" s="3"/>
      <c r="T78" s="3"/>
      <c r="U78" s="3"/>
      <c r="V78" s="6"/>
      <c r="W78" s="3"/>
      <c r="X78" s="3"/>
      <c r="Y78" s="3"/>
      <c r="Z78" s="6"/>
    </row>
    <row r="79" spans="1:26" s="23" customFormat="1" x14ac:dyDescent="0.3">
      <c r="A79" s="10"/>
      <c r="B79" s="25" t="s">
        <v>276</v>
      </c>
      <c r="C79" s="25"/>
      <c r="D79" s="20">
        <f>+D39-D41+D77</f>
        <v>3338.4799999999996</v>
      </c>
      <c r="E79" s="13"/>
      <c r="F79" s="22">
        <f>IF(D$12=0,0,D79/D$12)</f>
        <v>0.20215398067399998</v>
      </c>
      <c r="G79" s="13"/>
      <c r="H79" s="20">
        <f>+H39-H41+H77</f>
        <v>-2088.7799999999997</v>
      </c>
      <c r="I79" s="13"/>
      <c r="J79" s="22">
        <f>IF(H$12=0,0,H79/H$12)</f>
        <v>-0.1684779890852835</v>
      </c>
      <c r="K79" s="15"/>
      <c r="L79" s="20">
        <f>+D79-H79</f>
        <v>5427.2599999999993</v>
      </c>
      <c r="M79" s="15"/>
      <c r="N79" s="22">
        <f>IF(H79=0,0,L79/H79)</f>
        <v>-2.5982918258504966</v>
      </c>
      <c r="O79" s="26"/>
      <c r="P79" s="20">
        <f>+P39-P41+P77</f>
        <v>2575.4799999999996</v>
      </c>
      <c r="Q79" s="13"/>
      <c r="R79" s="22">
        <f>IF(P$12=0,0,P79/P$12)</f>
        <v>0.15595226993909606</v>
      </c>
      <c r="S79" s="13"/>
      <c r="T79" s="20">
        <f>+T39-T41+T77</f>
        <v>-3230.1799999999994</v>
      </c>
      <c r="U79" s="13"/>
      <c r="V79" s="22">
        <f>IF(T$12=0,0,T79/T$12)</f>
        <v>-0.26054167063237921</v>
      </c>
      <c r="W79" s="15"/>
      <c r="X79" s="20">
        <f>+P79-T79</f>
        <v>5805.6599999999989</v>
      </c>
      <c r="Y79" s="15"/>
      <c r="Z79" s="22">
        <f>IF(T79=0,0,X79/T79)</f>
        <v>-1.7973177965314626</v>
      </c>
    </row>
    <row r="80" spans="1:26" x14ac:dyDescent="0.3">
      <c r="A80" s="9"/>
      <c r="B80" s="10"/>
      <c r="C80" s="9"/>
      <c r="D80" s="3"/>
      <c r="E80" s="3"/>
      <c r="F80" s="6"/>
      <c r="G80" s="3"/>
      <c r="H80" s="3"/>
      <c r="I80" s="3"/>
      <c r="J80" s="6"/>
      <c r="K80" s="3"/>
      <c r="L80" s="3"/>
      <c r="M80" s="3"/>
      <c r="N80" s="6"/>
      <c r="P80" s="3"/>
      <c r="Q80" s="3"/>
      <c r="R80" s="6"/>
      <c r="S80" s="3"/>
      <c r="T80" s="3"/>
      <c r="U80" s="3"/>
      <c r="V80" s="6"/>
      <c r="W80" s="3"/>
      <c r="X80" s="3"/>
      <c r="Y80" s="3"/>
      <c r="Z80" s="6"/>
    </row>
    <row r="81" spans="1:26" s="23" customFormat="1" x14ac:dyDescent="0.3">
      <c r="A81" s="51"/>
      <c r="B81" s="10" t="s">
        <v>127</v>
      </c>
      <c r="C81" s="10"/>
      <c r="D81" s="4">
        <v>2467.8200000000002</v>
      </c>
      <c r="E81" s="4"/>
      <c r="F81" s="12">
        <f>IF(D$12=0,0,D81/D$12)</f>
        <v>0.14943316616751057</v>
      </c>
      <c r="G81" s="4"/>
      <c r="H81" s="4">
        <v>2093.23</v>
      </c>
      <c r="I81" s="4"/>
      <c r="J81" s="12">
        <f>IF(H$12=0,0,H81/H$12)</f>
        <v>0.1688369196818181</v>
      </c>
      <c r="K81" s="4"/>
      <c r="L81" s="4">
        <f>+D81-H81</f>
        <v>374.59000000000015</v>
      </c>
      <c r="M81" s="4"/>
      <c r="N81" s="12">
        <f>IF(H81=0,0,L81/H81)</f>
        <v>0.17895310118811605</v>
      </c>
      <c r="O81" s="10"/>
      <c r="P81" s="4">
        <v>2467.8200000000002</v>
      </c>
      <c r="Q81" s="4"/>
      <c r="R81" s="12">
        <f>IF(P$12=0,0,P81/P$12)</f>
        <v>0.14943316616751057</v>
      </c>
      <c r="S81" s="4"/>
      <c r="T81" s="4">
        <v>2093.23</v>
      </c>
      <c r="U81" s="4"/>
      <c r="V81" s="12">
        <f>IF(T$12=0,0,T81/T$12)</f>
        <v>0.1688369196818181</v>
      </c>
      <c r="W81" s="4"/>
      <c r="X81" s="4">
        <f>+P81-T81</f>
        <v>374.59000000000015</v>
      </c>
      <c r="Y81" s="4"/>
      <c r="Z81" s="12">
        <f>IF(T81=0,0,X81/T81)</f>
        <v>0.17895310118811605</v>
      </c>
    </row>
    <row r="82" spans="1:26" x14ac:dyDescent="0.3">
      <c r="A82" s="9"/>
      <c r="B82" s="10"/>
      <c r="C82" s="10"/>
      <c r="D82" s="3"/>
      <c r="E82" s="3"/>
      <c r="F82" s="6"/>
      <c r="G82" s="3"/>
      <c r="H82" s="3"/>
      <c r="I82" s="3"/>
      <c r="J82" s="6"/>
      <c r="K82" s="3"/>
      <c r="L82" s="3"/>
      <c r="M82" s="3"/>
      <c r="N82" s="6"/>
      <c r="O82" s="10"/>
      <c r="P82" s="3"/>
      <c r="Q82" s="3"/>
      <c r="R82" s="6"/>
      <c r="S82" s="3"/>
      <c r="T82" s="3"/>
      <c r="U82" s="3"/>
      <c r="V82" s="6"/>
      <c r="W82" s="3"/>
      <c r="X82" s="3"/>
      <c r="Y82" s="3"/>
      <c r="Z82" s="6"/>
    </row>
    <row r="83" spans="1:26" s="23" customFormat="1" ht="15" thickBot="1" x14ac:dyDescent="0.35">
      <c r="A83" s="10"/>
      <c r="B83" s="25" t="s">
        <v>125</v>
      </c>
      <c r="C83" s="25"/>
      <c r="D83" s="33">
        <f>+D79-D81</f>
        <v>870.6599999999994</v>
      </c>
      <c r="E83" s="13"/>
      <c r="F83" s="36">
        <f>IF(D$12=0,0,D83/D$12)</f>
        <v>5.2720814506489397E-2</v>
      </c>
      <c r="G83" s="13"/>
      <c r="H83" s="33">
        <f>+H79-H81</f>
        <v>-4182.01</v>
      </c>
      <c r="I83" s="13"/>
      <c r="J83" s="36">
        <f>IF(H$12=0,0,H83/H$12)</f>
        <v>-0.33731490876710163</v>
      </c>
      <c r="K83" s="15"/>
      <c r="L83" s="33">
        <f>D83-H83</f>
        <v>5052.67</v>
      </c>
      <c r="M83" s="15"/>
      <c r="N83" s="36">
        <f>IF(H83=0,0,L83/H83)</f>
        <v>-1.2081917546825569</v>
      </c>
      <c r="O83" s="26"/>
      <c r="P83" s="33">
        <f>+P79-P81</f>
        <v>107.6599999999994</v>
      </c>
      <c r="Q83" s="13"/>
      <c r="R83" s="36">
        <f>IF(P$12=0,0,P83/P$12)</f>
        <v>6.5191037715854874E-3</v>
      </c>
      <c r="S83" s="13"/>
      <c r="T83" s="33">
        <f>+T79-T81</f>
        <v>-5323.41</v>
      </c>
      <c r="U83" s="13"/>
      <c r="V83" s="36">
        <f>IF(T$12=0,0,T83/T$12)</f>
        <v>-0.42937859031419734</v>
      </c>
      <c r="W83" s="15"/>
      <c r="X83" s="33">
        <f>P83-T83</f>
        <v>5431.07</v>
      </c>
      <c r="Y83" s="15"/>
      <c r="Z83" s="36">
        <f>IF(T83=0,0,X83/T83)</f>
        <v>-1.0202238790549667</v>
      </c>
    </row>
    <row r="84" spans="1:26" ht="15" thickTop="1" x14ac:dyDescent="0.3">
      <c r="A84" s="9"/>
      <c r="B84" s="9"/>
      <c r="C84" s="9"/>
      <c r="D84" s="3"/>
      <c r="E84" s="3"/>
      <c r="F84" s="6"/>
      <c r="G84" s="3"/>
      <c r="H84" s="3"/>
      <c r="I84" s="3"/>
      <c r="J84" s="6"/>
      <c r="K84" s="3"/>
      <c r="L84" s="3"/>
      <c r="M84" s="3"/>
      <c r="N84" s="6"/>
      <c r="P84" s="3"/>
      <c r="Q84" s="3"/>
      <c r="R84" s="6"/>
      <c r="S84" s="3"/>
      <c r="T84" s="3"/>
      <c r="U84" s="3"/>
      <c r="V84" s="6"/>
      <c r="W84" s="3"/>
      <c r="X84" s="3"/>
      <c r="Y84" s="3"/>
      <c r="Z84" s="6"/>
    </row>
    <row r="85" spans="1:26" x14ac:dyDescent="0.3">
      <c r="A85" s="9"/>
      <c r="B85" s="9"/>
      <c r="C85" s="9"/>
      <c r="D85" s="3"/>
      <c r="E85" s="3"/>
      <c r="F85" s="6"/>
      <c r="G85" s="3"/>
      <c r="H85" s="3"/>
      <c r="I85" s="3"/>
      <c r="J85" s="6"/>
      <c r="K85" s="3"/>
      <c r="L85" s="3"/>
      <c r="M85" s="3"/>
      <c r="N85" s="6"/>
      <c r="P85" s="3"/>
      <c r="Q85" s="3"/>
      <c r="R85" s="6"/>
      <c r="S85" s="3"/>
      <c r="T85" s="3"/>
      <c r="U85" s="3"/>
      <c r="V85" s="6"/>
      <c r="W85" s="3"/>
      <c r="X85" s="3"/>
      <c r="Y85" s="3"/>
      <c r="Z85" s="6"/>
    </row>
    <row r="86" spans="1:26" s="23" customFormat="1" ht="15" thickBot="1" x14ac:dyDescent="0.35">
      <c r="A86" s="10"/>
      <c r="B86" s="25" t="s">
        <v>293</v>
      </c>
      <c r="C86" s="25"/>
      <c r="D86" s="30">
        <f>SUM(D83:D85)</f>
        <v>870.6599999999994</v>
      </c>
      <c r="E86" s="13"/>
      <c r="F86" s="31">
        <f>IF(D$12=0,0,D86/D$12)</f>
        <v>5.2720814506489397E-2</v>
      </c>
      <c r="G86" s="13"/>
      <c r="H86" s="30">
        <f>SUM(H83:H85)</f>
        <v>-4182.01</v>
      </c>
      <c r="I86" s="13"/>
      <c r="J86" s="31">
        <f>IF(H$12=0,0,H86/H$12)</f>
        <v>-0.33731490876710163</v>
      </c>
      <c r="K86" s="15"/>
      <c r="L86" s="30">
        <f>+D86-H86</f>
        <v>5052.67</v>
      </c>
      <c r="M86" s="15"/>
      <c r="N86" s="31">
        <f>IF(H86=0,0,L86/H86)</f>
        <v>-1.2081917546825569</v>
      </c>
      <c r="O86" s="26"/>
      <c r="P86" s="30">
        <f>SUM(P83:P85)</f>
        <v>107.6599999999994</v>
      </c>
      <c r="Q86" s="13"/>
      <c r="R86" s="31">
        <f>IF(P$12=0,0,P86/P$12)</f>
        <v>6.5191037715854874E-3</v>
      </c>
      <c r="S86" s="13"/>
      <c r="T86" s="30">
        <f>SUM(T83:T85)</f>
        <v>-5323.41</v>
      </c>
      <c r="U86" s="13"/>
      <c r="V86" s="31">
        <f>IF(T$12=0,0,T86/T$12)</f>
        <v>-0.42937859031419734</v>
      </c>
      <c r="W86" s="15"/>
      <c r="X86" s="30">
        <f>+P86-T86</f>
        <v>5431.07</v>
      </c>
      <c r="Y86" s="15"/>
      <c r="Z86" s="31">
        <f>IF(T86=0,0,X86/T86)</f>
        <v>-1.0202238790549667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9">
        <v>44470.840508449073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58" t="s">
        <v>56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2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","307", " - ", "Art Store")</f>
        <v>Department 307 - Art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16514.54</v>
      </c>
      <c r="E12" s="4"/>
      <c r="F12" s="12"/>
      <c r="G12" s="4"/>
      <c r="H12" s="4">
        <f>SUM(OSRRefH13x_0)</f>
        <v>12397.94</v>
      </c>
      <c r="I12" s="4"/>
      <c r="J12" s="12"/>
      <c r="K12" s="4"/>
      <c r="L12" s="4">
        <f t="shared" ref="L12:L21" si="0">+D12-H12</f>
        <v>4116.6000000000004</v>
      </c>
      <c r="M12" s="4"/>
      <c r="N12" s="12">
        <f t="shared" ref="N12:N21" si="1">IF(H12=0,0,L12/H12)</f>
        <v>0.33203903229084836</v>
      </c>
      <c r="O12" s="10"/>
      <c r="P12" s="4">
        <f>SUM(OSRRefP13x_0)</f>
        <v>16514.54</v>
      </c>
      <c r="Q12" s="4"/>
      <c r="R12" s="12"/>
      <c r="S12" s="4"/>
      <c r="T12" s="4">
        <f>SUM(OSRRefT13x_0)</f>
        <v>12397.94</v>
      </c>
      <c r="U12" s="4"/>
      <c r="V12" s="12"/>
      <c r="W12" s="4"/>
      <c r="X12" s="4">
        <f t="shared" ref="X12:X21" si="2">+P12-T12</f>
        <v>4116.6000000000004</v>
      </c>
      <c r="Y12" s="4"/>
      <c r="Z12" s="12">
        <f t="shared" ref="Z12:Z21" si="3">IF(T12=0,0,X12/T12)</f>
        <v>0.33203903229084836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--15152.58</f>
        <v>15152.58</v>
      </c>
      <c r="E13" s="2"/>
      <c r="F13" s="19"/>
      <c r="G13" s="2"/>
      <c r="H13" s="2">
        <f>-1069.53</f>
        <v>-1069.53</v>
      </c>
      <c r="I13" s="2"/>
      <c r="J13" s="19"/>
      <c r="K13" s="2"/>
      <c r="L13" s="2">
        <f t="shared" si="0"/>
        <v>16222.11</v>
      </c>
      <c r="M13" s="2"/>
      <c r="N13" s="19">
        <f t="shared" si="1"/>
        <v>-15.167512832739616</v>
      </c>
      <c r="O13" s="11"/>
      <c r="P13" s="2">
        <f>--15152.58</f>
        <v>15152.58</v>
      </c>
      <c r="Q13" s="2"/>
      <c r="R13" s="19"/>
      <c r="S13" s="2"/>
      <c r="T13" s="2">
        <f>-1069.53</f>
        <v>-1069.53</v>
      </c>
      <c r="U13" s="2"/>
      <c r="V13" s="19"/>
      <c r="W13" s="2"/>
      <c r="X13" s="2">
        <f t="shared" si="2"/>
        <v>16222.11</v>
      </c>
      <c r="Y13" s="2"/>
      <c r="Z13" s="19">
        <f t="shared" si="3"/>
        <v>-15.167512832739616</v>
      </c>
    </row>
    <row r="14" spans="1:26" s="24" customFormat="1" hidden="1" outlineLevel="1" x14ac:dyDescent="0.3">
      <c r="A14" s="44"/>
      <c r="B14" s="11" t="str">
        <f>CONCATENATE("          ", "4027", " - ", "TAXABLE SALES-SCHOOL SUPPLIES")</f>
        <v xml:space="preserve">          4027 - TAXABLE SALES-SCHOOL SUPPLIES</v>
      </c>
      <c r="C14" s="11"/>
      <c r="D14" s="2">
        <f t="shared" ref="D14:D16" si="4">0</f>
        <v>0</v>
      </c>
      <c r="E14" s="2"/>
      <c r="F14" s="19"/>
      <c r="G14" s="2"/>
      <c r="H14" s="2">
        <f>--3388.87</f>
        <v>3388.87</v>
      </c>
      <c r="I14" s="2"/>
      <c r="J14" s="19"/>
      <c r="K14" s="2"/>
      <c r="L14" s="2">
        <f t="shared" si="0"/>
        <v>-3388.87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--3388.87</f>
        <v>3388.87</v>
      </c>
      <c r="U14" s="2"/>
      <c r="V14" s="19"/>
      <c r="W14" s="2"/>
      <c r="X14" s="2">
        <f t="shared" si="2"/>
        <v>-3388.87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"4028", " - ", "TAXABLE SALES-ART/TECH")</f>
        <v xml:space="preserve">          4028 - TAXABLE SALES-ART/TECH</v>
      </c>
      <c r="C15" s="11"/>
      <c r="D15" s="2">
        <f t="shared" si="4"/>
        <v>0</v>
      </c>
      <c r="E15" s="2"/>
      <c r="F15" s="19"/>
      <c r="G15" s="2"/>
      <c r="H15" s="2">
        <f>--9671.25</f>
        <v>9671.25</v>
      </c>
      <c r="I15" s="2"/>
      <c r="J15" s="19"/>
      <c r="K15" s="2"/>
      <c r="L15" s="2">
        <f t="shared" si="0"/>
        <v>-9671.25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--9671.25</f>
        <v>9671.25</v>
      </c>
      <c r="U15" s="2"/>
      <c r="V15" s="19"/>
      <c r="W15" s="2"/>
      <c r="X15" s="2">
        <f t="shared" si="2"/>
        <v>-9671.25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"4031", " - ", "TAXABLE SALES-FOOD")</f>
        <v xml:space="preserve">          4031 - TAXABLE SALES-FOOD</v>
      </c>
      <c r="C16" s="11"/>
      <c r="D16" s="2">
        <f t="shared" si="4"/>
        <v>0</v>
      </c>
      <c r="E16" s="2"/>
      <c r="F16" s="19"/>
      <c r="G16" s="2"/>
      <c r="H16" s="2">
        <f>--125.04</f>
        <v>125.04</v>
      </c>
      <c r="I16" s="2"/>
      <c r="J16" s="19"/>
      <c r="K16" s="2"/>
      <c r="L16" s="2">
        <f t="shared" si="0"/>
        <v>-125.04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--125.04</f>
        <v>125.04</v>
      </c>
      <c r="U16" s="2"/>
      <c r="V16" s="19"/>
      <c r="W16" s="2"/>
      <c r="X16" s="2">
        <f t="shared" si="2"/>
        <v>-125.04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--1628.53</f>
        <v>1628.53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1628.53</v>
      </c>
      <c r="M17" s="2"/>
      <c r="N17" s="19">
        <f t="shared" si="1"/>
        <v>0</v>
      </c>
      <c r="O17" s="11"/>
      <c r="P17" s="2">
        <f>--1628.53</f>
        <v>1628.53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1628.53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"4131", " - ", "NON-TAXABLE SALES-FOOD")</f>
        <v xml:space="preserve">          4131 - NON-TAXABLE SALES-FOOD</v>
      </c>
      <c r="C18" s="11"/>
      <c r="D18" s="2">
        <f>0</f>
        <v>0</v>
      </c>
      <c r="E18" s="2"/>
      <c r="F18" s="19"/>
      <c r="G18" s="2"/>
      <c r="H18" s="2">
        <f>--587.14</f>
        <v>587.14</v>
      </c>
      <c r="I18" s="2"/>
      <c r="J18" s="19"/>
      <c r="K18" s="2"/>
      <c r="L18" s="2">
        <f t="shared" si="0"/>
        <v>-587.14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--587.14</f>
        <v>587.14</v>
      </c>
      <c r="U18" s="2"/>
      <c r="V18" s="19"/>
      <c r="W18" s="2"/>
      <c r="X18" s="2">
        <f t="shared" si="2"/>
        <v>-587.14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"4200", " - ", "TAXABLE RETURNS")</f>
        <v xml:space="preserve">          4200 - TAXABLE RETURNS</v>
      </c>
      <c r="C19" s="11"/>
      <c r="D19" s="2">
        <f>-266.57</f>
        <v>-266.57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-266.57</v>
      </c>
      <c r="M19" s="2"/>
      <c r="N19" s="19">
        <f t="shared" si="1"/>
        <v>0</v>
      </c>
      <c r="O19" s="11"/>
      <c r="P19" s="2">
        <f>-266.57</f>
        <v>-266.57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-266.57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"4227", " - ", "SALES RETURN TAXABLE-SCHOOL SU")</f>
        <v xml:space="preserve">          4227 - SALES RETURN TAXABLE-SCHOOL SU</v>
      </c>
      <c r="C20" s="11"/>
      <c r="D20" s="2">
        <f t="shared" ref="D20:D21" si="6">0</f>
        <v>0</v>
      </c>
      <c r="E20" s="2"/>
      <c r="F20" s="19"/>
      <c r="G20" s="2"/>
      <c r="H20" s="2">
        <f>-140.39</f>
        <v>-140.38999999999999</v>
      </c>
      <c r="I20" s="2"/>
      <c r="J20" s="19"/>
      <c r="K20" s="2"/>
      <c r="L20" s="2">
        <f t="shared" si="0"/>
        <v>140.38999999999999</v>
      </c>
      <c r="M20" s="2"/>
      <c r="N20" s="19">
        <f t="shared" si="1"/>
        <v>-1</v>
      </c>
      <c r="O20" s="11"/>
      <c r="P20" s="2">
        <f t="shared" ref="P20:P21" si="7">0</f>
        <v>0</v>
      </c>
      <c r="Q20" s="2"/>
      <c r="R20" s="19"/>
      <c r="S20" s="2"/>
      <c r="T20" s="2">
        <f>-140.39</f>
        <v>-140.38999999999999</v>
      </c>
      <c r="U20" s="2"/>
      <c r="V20" s="19"/>
      <c r="W20" s="2"/>
      <c r="X20" s="2">
        <f t="shared" si="2"/>
        <v>140.38999999999999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"4228", " - ", "SALES RETURN TAXABLE-ART/TECH")</f>
        <v xml:space="preserve">          4228 - SALES RETURN TAXABLE-ART/TECH</v>
      </c>
      <c r="C21" s="11"/>
      <c r="D21" s="2">
        <f t="shared" si="6"/>
        <v>0</v>
      </c>
      <c r="E21" s="2"/>
      <c r="F21" s="19"/>
      <c r="G21" s="2"/>
      <c r="H21" s="2">
        <f>-164.44</f>
        <v>-164.44</v>
      </c>
      <c r="I21" s="2"/>
      <c r="J21" s="19"/>
      <c r="K21" s="2"/>
      <c r="L21" s="2">
        <f t="shared" si="0"/>
        <v>164.44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-164.44</f>
        <v>-164.44</v>
      </c>
      <c r="U21" s="2"/>
      <c r="V21" s="19"/>
      <c r="W21" s="2"/>
      <c r="X21" s="2">
        <f t="shared" si="2"/>
        <v>164.44</v>
      </c>
      <c r="Y21" s="2"/>
      <c r="Z21" s="19">
        <f t="shared" si="3"/>
        <v>-1</v>
      </c>
    </row>
    <row r="22" spans="1:26" x14ac:dyDescent="0.3">
      <c r="A22" s="9"/>
      <c r="B22" s="10"/>
      <c r="C22" s="9"/>
      <c r="D22" s="3"/>
      <c r="E22" s="3"/>
      <c r="F22" s="6"/>
      <c r="G22" s="3"/>
      <c r="H22" s="3"/>
      <c r="I22" s="3"/>
      <c r="J22" s="6"/>
      <c r="K22" s="3"/>
      <c r="L22" s="3"/>
      <c r="M22" s="3"/>
      <c r="N22" s="6"/>
      <c r="P22" s="3"/>
      <c r="Q22" s="3"/>
      <c r="R22" s="6"/>
      <c r="S22" s="3"/>
      <c r="T22" s="3"/>
      <c r="U22" s="3"/>
      <c r="V22" s="6"/>
      <c r="W22" s="3"/>
      <c r="X22" s="3"/>
      <c r="Y22" s="3"/>
      <c r="Z22" s="6"/>
    </row>
    <row r="23" spans="1:26" s="23" customFormat="1" collapsed="1" x14ac:dyDescent="0.3">
      <c r="A23" s="10"/>
      <c r="B23" s="26" t="s">
        <v>256</v>
      </c>
      <c r="C23" s="10"/>
      <c r="D23" s="4">
        <f>SUM(OSRRefD16x_0)</f>
        <v>9685.5600000000013</v>
      </c>
      <c r="E23" s="4"/>
      <c r="F23" s="12">
        <f t="shared" ref="F23:F33" si="8">IF(D$12=0,0,D23/D$12)</f>
        <v>0.58648681707150185</v>
      </c>
      <c r="G23" s="4"/>
      <c r="H23" s="4">
        <f>SUM(OSRRefH16x_0)</f>
        <v>9005</v>
      </c>
      <c r="I23" s="4"/>
      <c r="J23" s="12">
        <f t="shared" ref="J23:J33" si="9">IF(H$12=0,0,H23/H$12)</f>
        <v>0.72633034197616697</v>
      </c>
      <c r="K23" s="4"/>
      <c r="L23" s="4">
        <f t="shared" ref="L23:L33" si="10">+D23-H23</f>
        <v>680.56000000000131</v>
      </c>
      <c r="M23" s="4"/>
      <c r="N23" s="12">
        <f t="shared" ref="N23:N33" si="11">IF(H23=0,0,L23/H23)</f>
        <v>7.5575791227096206E-2</v>
      </c>
      <c r="O23" s="10"/>
      <c r="P23" s="4">
        <f>SUM(OSRRefP16x_0)</f>
        <v>9685.5600000000013</v>
      </c>
      <c r="Q23" s="4"/>
      <c r="R23" s="12">
        <f t="shared" ref="R23:R33" si="12">IF(P$12=0,0,P23/P$12)</f>
        <v>0.58648681707150185</v>
      </c>
      <c r="S23" s="4"/>
      <c r="T23" s="4">
        <f>SUM(OSRRefT16x_0)</f>
        <v>9043.0499999999993</v>
      </c>
      <c r="U23" s="4"/>
      <c r="V23" s="12">
        <f t="shared" ref="V23:V33" si="13">IF(T$12=0,0,T23/T$12)</f>
        <v>0.72939940022294014</v>
      </c>
      <c r="W23" s="4"/>
      <c r="X23" s="4">
        <f t="shared" ref="X23:X33" si="14">+P23-T23</f>
        <v>642.51000000000204</v>
      </c>
      <c r="Y23" s="4"/>
      <c r="Z23" s="12">
        <f t="shared" ref="Z23:Z33" si="15">IF(T23=0,0,X23/T23)</f>
        <v>7.1050143480352546E-2</v>
      </c>
    </row>
    <row r="24" spans="1:26" s="24" customFormat="1" hidden="1" outlineLevel="1" x14ac:dyDescent="0.3">
      <c r="A24" s="44"/>
      <c r="B24" s="11" t="str">
        <f>CONCATENATE("          ", "5000", " - ", "PURCHASES @ COST")</f>
        <v xml:space="preserve">          5000 - PURCHASES @ COST</v>
      </c>
      <c r="C24" s="11"/>
      <c r="D24" s="2">
        <v>13695.29</v>
      </c>
      <c r="E24" s="2"/>
      <c r="F24" s="19">
        <f t="shared" si="8"/>
        <v>0.82928679817905915</v>
      </c>
      <c r="G24" s="2"/>
      <c r="H24" s="2"/>
      <c r="I24" s="2"/>
      <c r="J24" s="19">
        <f t="shared" si="9"/>
        <v>0</v>
      </c>
      <c r="K24" s="2"/>
      <c r="L24" s="2">
        <f t="shared" si="10"/>
        <v>13695.29</v>
      </c>
      <c r="M24" s="2"/>
      <c r="N24" s="19">
        <f t="shared" si="11"/>
        <v>0</v>
      </c>
      <c r="O24" s="11"/>
      <c r="P24" s="2">
        <v>13695.29</v>
      </c>
      <c r="Q24" s="2"/>
      <c r="R24" s="19">
        <f t="shared" si="12"/>
        <v>0.82928679817905915</v>
      </c>
      <c r="S24" s="2"/>
      <c r="T24" s="2"/>
      <c r="U24" s="2"/>
      <c r="V24" s="19">
        <f t="shared" si="13"/>
        <v>0</v>
      </c>
      <c r="W24" s="2"/>
      <c r="X24" s="2">
        <f t="shared" si="14"/>
        <v>13695.29</v>
      </c>
      <c r="Y24" s="2"/>
      <c r="Z24" s="19">
        <f t="shared" si="15"/>
        <v>0</v>
      </c>
    </row>
    <row r="25" spans="1:26" s="24" customFormat="1" hidden="1" outlineLevel="1" x14ac:dyDescent="0.3">
      <c r="A25" s="44"/>
      <c r="B25" s="11" t="str">
        <f>CONCATENATE("          ", "5026", " - ", "PURCHASES @ COST-WRITING INSTR")</f>
        <v xml:space="preserve">          5026 - PURCHASES @ COST-WRITING INSTR</v>
      </c>
      <c r="C25" s="11"/>
      <c r="D25" s="2">
        <v>0</v>
      </c>
      <c r="E25" s="2"/>
      <c r="F25" s="19">
        <f t="shared" si="8"/>
        <v>0</v>
      </c>
      <c r="G25" s="2"/>
      <c r="H25" s="2"/>
      <c r="I25" s="2"/>
      <c r="J25" s="19">
        <f t="shared" si="9"/>
        <v>0</v>
      </c>
      <c r="K25" s="2"/>
      <c r="L25" s="2">
        <f t="shared" si="10"/>
        <v>0</v>
      </c>
      <c r="M25" s="2"/>
      <c r="N25" s="19">
        <f t="shared" si="11"/>
        <v>0</v>
      </c>
      <c r="O25" s="11"/>
      <c r="P25" s="2">
        <v>0</v>
      </c>
      <c r="Q25" s="2"/>
      <c r="R25" s="19">
        <f t="shared" si="12"/>
        <v>0</v>
      </c>
      <c r="S25" s="2"/>
      <c r="T25" s="2"/>
      <c r="U25" s="2"/>
      <c r="V25" s="19">
        <f t="shared" si="13"/>
        <v>0</v>
      </c>
      <c r="W25" s="2"/>
      <c r="X25" s="2">
        <f t="shared" si="14"/>
        <v>0</v>
      </c>
      <c r="Y25" s="2"/>
      <c r="Z25" s="19">
        <f t="shared" si="15"/>
        <v>0</v>
      </c>
    </row>
    <row r="26" spans="1:26" s="24" customFormat="1" hidden="1" outlineLevel="1" x14ac:dyDescent="0.3">
      <c r="A26" s="44"/>
      <c r="B26" s="11" t="str">
        <f>CONCATENATE("          ", "5027", " - ", "PURCHASES @ COST-SCHOOL SUPPLI")</f>
        <v xml:space="preserve">          5027 - PURCHASES @ COST-SCHOOL SUPPLI</v>
      </c>
      <c r="C26" s="11"/>
      <c r="D26" s="2">
        <v>0</v>
      </c>
      <c r="E26" s="2"/>
      <c r="F26" s="19">
        <f t="shared" si="8"/>
        <v>0</v>
      </c>
      <c r="G26" s="2"/>
      <c r="H26" s="2"/>
      <c r="I26" s="2"/>
      <c r="J26" s="19">
        <f t="shared" si="9"/>
        <v>0</v>
      </c>
      <c r="K26" s="2"/>
      <c r="L26" s="2">
        <f t="shared" si="10"/>
        <v>0</v>
      </c>
      <c r="M26" s="2"/>
      <c r="N26" s="19">
        <f t="shared" si="11"/>
        <v>0</v>
      </c>
      <c r="O26" s="11"/>
      <c r="P26" s="2">
        <v>0</v>
      </c>
      <c r="Q26" s="2"/>
      <c r="R26" s="19">
        <f t="shared" si="12"/>
        <v>0</v>
      </c>
      <c r="S26" s="2"/>
      <c r="T26" s="2"/>
      <c r="U26" s="2"/>
      <c r="V26" s="19">
        <f t="shared" si="13"/>
        <v>0</v>
      </c>
      <c r="W26" s="2"/>
      <c r="X26" s="2">
        <f t="shared" si="14"/>
        <v>0</v>
      </c>
      <c r="Y26" s="2"/>
      <c r="Z26" s="19">
        <f t="shared" si="15"/>
        <v>0</v>
      </c>
    </row>
    <row r="27" spans="1:26" s="24" customFormat="1" hidden="1" outlineLevel="1" x14ac:dyDescent="0.3">
      <c r="A27" s="44"/>
      <c r="B27" s="11" t="str">
        <f>CONCATENATE("          ", "5028", " - ", "PURCHASES @ COST-ART/TECH")</f>
        <v xml:space="preserve">          5028 - PURCHASES @ COST-ART/TECH</v>
      </c>
      <c r="C27" s="11"/>
      <c r="D27" s="2">
        <v>0</v>
      </c>
      <c r="E27" s="2"/>
      <c r="F27" s="19">
        <f t="shared" si="8"/>
        <v>0</v>
      </c>
      <c r="G27" s="2"/>
      <c r="H27" s="2"/>
      <c r="I27" s="2"/>
      <c r="J27" s="19">
        <f t="shared" si="9"/>
        <v>0</v>
      </c>
      <c r="K27" s="2"/>
      <c r="L27" s="2">
        <f t="shared" si="10"/>
        <v>0</v>
      </c>
      <c r="M27" s="2"/>
      <c r="N27" s="19">
        <f t="shared" si="11"/>
        <v>0</v>
      </c>
      <c r="O27" s="11"/>
      <c r="P27" s="2">
        <v>0</v>
      </c>
      <c r="Q27" s="2"/>
      <c r="R27" s="19">
        <f t="shared" si="12"/>
        <v>0</v>
      </c>
      <c r="S27" s="2"/>
      <c r="T27" s="2"/>
      <c r="U27" s="2"/>
      <c r="V27" s="19">
        <f t="shared" si="13"/>
        <v>0</v>
      </c>
      <c r="W27" s="2"/>
      <c r="X27" s="2">
        <f t="shared" si="14"/>
        <v>0</v>
      </c>
      <c r="Y27" s="2"/>
      <c r="Z27" s="19">
        <f t="shared" si="15"/>
        <v>0</v>
      </c>
    </row>
    <row r="28" spans="1:26" s="24" customFormat="1" hidden="1" outlineLevel="1" x14ac:dyDescent="0.3">
      <c r="A28" s="44"/>
      <c r="B28" s="11" t="str">
        <f>CONCATENATE("          ", "5031", " - ", "PURCHASES @ COST-FOOD")</f>
        <v xml:space="preserve">          5031 - PURCHASES @ COST-FOOD</v>
      </c>
      <c r="C28" s="11"/>
      <c r="D28" s="2">
        <v>0</v>
      </c>
      <c r="E28" s="2"/>
      <c r="F28" s="19">
        <f t="shared" si="8"/>
        <v>0</v>
      </c>
      <c r="G28" s="2"/>
      <c r="H28" s="2">
        <v>0</v>
      </c>
      <c r="I28" s="2"/>
      <c r="J28" s="19">
        <f t="shared" si="9"/>
        <v>0</v>
      </c>
      <c r="K28" s="2"/>
      <c r="L28" s="2">
        <f t="shared" si="10"/>
        <v>0</v>
      </c>
      <c r="M28" s="2"/>
      <c r="N28" s="19">
        <f t="shared" si="11"/>
        <v>0</v>
      </c>
      <c r="O28" s="11"/>
      <c r="P28" s="2">
        <v>0</v>
      </c>
      <c r="Q28" s="2"/>
      <c r="R28" s="19">
        <f t="shared" si="12"/>
        <v>0</v>
      </c>
      <c r="S28" s="2"/>
      <c r="T28" s="2">
        <v>0</v>
      </c>
      <c r="U28" s="2"/>
      <c r="V28" s="19">
        <f t="shared" si="13"/>
        <v>0</v>
      </c>
      <c r="W28" s="2"/>
      <c r="X28" s="2">
        <f t="shared" si="14"/>
        <v>0</v>
      </c>
      <c r="Y28" s="2"/>
      <c r="Z28" s="19">
        <f t="shared" si="15"/>
        <v>0</v>
      </c>
    </row>
    <row r="29" spans="1:26" s="24" customFormat="1" hidden="1" outlineLevel="1" x14ac:dyDescent="0.3">
      <c r="A29" s="44"/>
      <c r="B29" s="11" t="str">
        <f>CONCATENATE("          ", "5042", " - ", "PURCHASES @ COST-EVERYDAY GIFT")</f>
        <v xml:space="preserve">          5042 - PURCHASES @ COST-EVERYDAY GIFT</v>
      </c>
      <c r="C29" s="11"/>
      <c r="D29" s="2">
        <v>0</v>
      </c>
      <c r="E29" s="2"/>
      <c r="F29" s="19">
        <f t="shared" si="8"/>
        <v>0</v>
      </c>
      <c r="G29" s="2"/>
      <c r="H29" s="2"/>
      <c r="I29" s="2"/>
      <c r="J29" s="19">
        <f t="shared" si="9"/>
        <v>0</v>
      </c>
      <c r="K29" s="2"/>
      <c r="L29" s="2">
        <f t="shared" si="10"/>
        <v>0</v>
      </c>
      <c r="M29" s="2"/>
      <c r="N29" s="19">
        <f t="shared" si="11"/>
        <v>0</v>
      </c>
      <c r="O29" s="11"/>
      <c r="P29" s="2">
        <v>0</v>
      </c>
      <c r="Q29" s="2"/>
      <c r="R29" s="19">
        <f t="shared" si="12"/>
        <v>0</v>
      </c>
      <c r="S29" s="2"/>
      <c r="T29" s="2"/>
      <c r="U29" s="2"/>
      <c r="V29" s="19">
        <f t="shared" si="13"/>
        <v>0</v>
      </c>
      <c r="W29" s="2"/>
      <c r="X29" s="2">
        <f t="shared" si="14"/>
        <v>0</v>
      </c>
      <c r="Y29" s="2"/>
      <c r="Z29" s="19">
        <f t="shared" si="15"/>
        <v>0</v>
      </c>
    </row>
    <row r="30" spans="1:26" s="24" customFormat="1" hidden="1" outlineLevel="1" x14ac:dyDescent="0.3">
      <c r="A30" s="44"/>
      <c r="B30" s="11" t="str">
        <f>CONCATENATE("          ", "5200", " - ", "PURCHASES OFFSET")</f>
        <v xml:space="preserve">          5200 - PURCHASES OFFSET</v>
      </c>
      <c r="C30" s="11"/>
      <c r="D30" s="2">
        <v>-13837.74</v>
      </c>
      <c r="E30" s="2"/>
      <c r="F30" s="19">
        <f t="shared" si="8"/>
        <v>-0.83791253041259395</v>
      </c>
      <c r="G30" s="2"/>
      <c r="H30" s="2"/>
      <c r="I30" s="2"/>
      <c r="J30" s="19">
        <f t="shared" si="9"/>
        <v>0</v>
      </c>
      <c r="K30" s="2"/>
      <c r="L30" s="2">
        <f t="shared" si="10"/>
        <v>-13837.74</v>
      </c>
      <c r="M30" s="2"/>
      <c r="N30" s="19">
        <f t="shared" si="11"/>
        <v>0</v>
      </c>
      <c r="O30" s="11"/>
      <c r="P30" s="2">
        <v>-13837.74</v>
      </c>
      <c r="Q30" s="2"/>
      <c r="R30" s="19">
        <f t="shared" si="12"/>
        <v>-0.83791253041259395</v>
      </c>
      <c r="S30" s="2"/>
      <c r="T30" s="2"/>
      <c r="U30" s="2"/>
      <c r="V30" s="19">
        <f t="shared" si="13"/>
        <v>0</v>
      </c>
      <c r="W30" s="2"/>
      <c r="X30" s="2">
        <f t="shared" si="14"/>
        <v>-13837.74</v>
      </c>
      <c r="Y30" s="2"/>
      <c r="Z30" s="19">
        <f t="shared" si="15"/>
        <v>0</v>
      </c>
    </row>
    <row r="31" spans="1:26" s="24" customFormat="1" hidden="1" outlineLevel="1" x14ac:dyDescent="0.3">
      <c r="A31" s="44"/>
      <c r="B31" s="11" t="str">
        <f>CONCATENATE("          ", "5300", " - ", "COG$ OFFSET")</f>
        <v xml:space="preserve">          5300 - COG$ OFFSET</v>
      </c>
      <c r="C31" s="11"/>
      <c r="D31" s="2">
        <v>9685.56</v>
      </c>
      <c r="E31" s="2"/>
      <c r="F31" s="19">
        <f t="shared" si="8"/>
        <v>0.58648681707150174</v>
      </c>
      <c r="G31" s="2"/>
      <c r="H31" s="2">
        <v>9005</v>
      </c>
      <c r="I31" s="2"/>
      <c r="J31" s="19">
        <f t="shared" si="9"/>
        <v>0.72633034197616697</v>
      </c>
      <c r="K31" s="2"/>
      <c r="L31" s="2">
        <f t="shared" si="10"/>
        <v>680.55999999999949</v>
      </c>
      <c r="M31" s="2"/>
      <c r="N31" s="19">
        <f t="shared" si="11"/>
        <v>7.5575791227095998E-2</v>
      </c>
      <c r="O31" s="11"/>
      <c r="P31" s="2">
        <v>9685.56</v>
      </c>
      <c r="Q31" s="2"/>
      <c r="R31" s="19">
        <f t="shared" si="12"/>
        <v>0.58648681707150174</v>
      </c>
      <c r="S31" s="2"/>
      <c r="T31" s="2">
        <v>9005</v>
      </c>
      <c r="U31" s="2"/>
      <c r="V31" s="19">
        <f t="shared" si="13"/>
        <v>0.72633034197616697</v>
      </c>
      <c r="W31" s="2"/>
      <c r="X31" s="2">
        <f t="shared" si="14"/>
        <v>680.55999999999949</v>
      </c>
      <c r="Y31" s="2"/>
      <c r="Z31" s="19">
        <f t="shared" si="15"/>
        <v>7.5575791227095998E-2</v>
      </c>
    </row>
    <row r="32" spans="1:26" s="24" customFormat="1" hidden="1" outlineLevel="1" x14ac:dyDescent="0.3">
      <c r="A32" s="44"/>
      <c r="B32" s="11" t="str">
        <f>CONCATENATE("          ", "5500", " - ", "FREIGHT-IN")</f>
        <v xml:space="preserve">          5500 - FREIGHT-IN</v>
      </c>
      <c r="C32" s="11"/>
      <c r="D32" s="2">
        <v>142.44999999999999</v>
      </c>
      <c r="E32" s="2"/>
      <c r="F32" s="19">
        <f t="shared" si="8"/>
        <v>8.6257322335348118E-3</v>
      </c>
      <c r="G32" s="2"/>
      <c r="H32" s="2"/>
      <c r="I32" s="2"/>
      <c r="J32" s="19">
        <f t="shared" si="9"/>
        <v>0</v>
      </c>
      <c r="K32" s="2"/>
      <c r="L32" s="2">
        <f t="shared" si="10"/>
        <v>142.44999999999999</v>
      </c>
      <c r="M32" s="2"/>
      <c r="N32" s="19">
        <f t="shared" si="11"/>
        <v>0</v>
      </c>
      <c r="O32" s="11"/>
      <c r="P32" s="2">
        <v>142.44999999999999</v>
      </c>
      <c r="Q32" s="2"/>
      <c r="R32" s="19">
        <f t="shared" si="12"/>
        <v>8.6257322335348118E-3</v>
      </c>
      <c r="S32" s="2"/>
      <c r="T32" s="2"/>
      <c r="U32" s="2"/>
      <c r="V32" s="19">
        <f t="shared" si="13"/>
        <v>0</v>
      </c>
      <c r="W32" s="2"/>
      <c r="X32" s="2">
        <f t="shared" si="14"/>
        <v>142.44999999999999</v>
      </c>
      <c r="Y32" s="2"/>
      <c r="Z32" s="19">
        <f t="shared" si="15"/>
        <v>0</v>
      </c>
    </row>
    <row r="33" spans="1:26" s="24" customFormat="1" hidden="1" outlineLevel="1" x14ac:dyDescent="0.3">
      <c r="A33" s="44"/>
      <c r="B33" s="11" t="str">
        <f>CONCATENATE("          ", "5528", " - ", "FREIGHT-IN-ART/TECH")</f>
        <v xml:space="preserve">          5528 - FREIGHT-IN-ART/TECH</v>
      </c>
      <c r="C33" s="11"/>
      <c r="D33" s="2">
        <v>0</v>
      </c>
      <c r="E33" s="2"/>
      <c r="F33" s="19">
        <f t="shared" si="8"/>
        <v>0</v>
      </c>
      <c r="G33" s="2"/>
      <c r="H33" s="2"/>
      <c r="I33" s="2"/>
      <c r="J33" s="19">
        <f t="shared" si="9"/>
        <v>0</v>
      </c>
      <c r="K33" s="2"/>
      <c r="L33" s="2">
        <f t="shared" si="10"/>
        <v>0</v>
      </c>
      <c r="M33" s="2"/>
      <c r="N33" s="19">
        <f t="shared" si="11"/>
        <v>0</v>
      </c>
      <c r="O33" s="11"/>
      <c r="P33" s="2">
        <v>0</v>
      </c>
      <c r="Q33" s="2"/>
      <c r="R33" s="19">
        <f t="shared" si="12"/>
        <v>0</v>
      </c>
      <c r="S33" s="2"/>
      <c r="T33" s="2">
        <v>38.049999999999997</v>
      </c>
      <c r="U33" s="2"/>
      <c r="V33" s="19">
        <f t="shared" si="13"/>
        <v>3.0690582467732541E-3</v>
      </c>
      <c r="W33" s="2"/>
      <c r="X33" s="2">
        <f t="shared" si="14"/>
        <v>-38.049999999999997</v>
      </c>
      <c r="Y33" s="2"/>
      <c r="Z33" s="19">
        <f t="shared" si="15"/>
        <v>-1</v>
      </c>
    </row>
    <row r="34" spans="1:26" x14ac:dyDescent="0.3">
      <c r="A34" s="9"/>
      <c r="B34" s="10"/>
      <c r="C34" s="10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O34" s="10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s="23" customFormat="1" x14ac:dyDescent="0.3">
      <c r="A35" s="10"/>
      <c r="B35" s="25" t="s">
        <v>107</v>
      </c>
      <c r="C35" s="25"/>
      <c r="D35" s="20">
        <f>D12-D23</f>
        <v>6828.98</v>
      </c>
      <c r="E35" s="13"/>
      <c r="F35" s="22">
        <f>IF(D$12=0,0,D35/D$12)</f>
        <v>0.41351318292849809</v>
      </c>
      <c r="G35" s="13"/>
      <c r="H35" s="20">
        <f>H12-H23</f>
        <v>3392.9400000000005</v>
      </c>
      <c r="I35" s="13"/>
      <c r="J35" s="22">
        <f>IF(H$12=0,0,H35/H$12)</f>
        <v>0.27366965802383303</v>
      </c>
      <c r="K35" s="15"/>
      <c r="L35" s="20">
        <f>+D35-H35</f>
        <v>3436.0399999999991</v>
      </c>
      <c r="M35" s="15"/>
      <c r="N35" s="22">
        <f>IF(H35=0,0,L35/H35)</f>
        <v>1.0127028476778246</v>
      </c>
      <c r="O35" s="26"/>
      <c r="P35" s="20">
        <f>P12-P23</f>
        <v>6828.98</v>
      </c>
      <c r="Q35" s="13"/>
      <c r="R35" s="22">
        <f>IF(P$12=0,0,P35/P$12)</f>
        <v>0.41351318292849809</v>
      </c>
      <c r="S35" s="13"/>
      <c r="T35" s="20">
        <f>T12-T23</f>
        <v>3354.8900000000012</v>
      </c>
      <c r="U35" s="13"/>
      <c r="V35" s="22">
        <f>IF(T$12=0,0,T35/T$12)</f>
        <v>0.2706005997770598</v>
      </c>
      <c r="W35" s="15"/>
      <c r="X35" s="20">
        <f>+P35-T35</f>
        <v>3474.0899999999983</v>
      </c>
      <c r="Y35" s="15"/>
      <c r="Z35" s="22">
        <f>IF(T35=0,0,X35/T35)</f>
        <v>1.0355302260282742</v>
      </c>
    </row>
    <row r="36" spans="1:26" x14ac:dyDescent="0.3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7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3">
      <c r="A37" s="10"/>
      <c r="B37" s="26" t="s">
        <v>294</v>
      </c>
      <c r="C37" s="10"/>
      <c r="D37" s="21">
        <f>SUM(OSRRefD22x_0)</f>
        <v>3490.5</v>
      </c>
      <c r="E37" s="21"/>
      <c r="F37" s="32">
        <f t="shared" ref="F37:F41" si="16">IF(D$12=0,0,D37/D$12)</f>
        <v>0.21135920225449814</v>
      </c>
      <c r="G37" s="21"/>
      <c r="H37" s="21">
        <f>SUM(OSRRefH22x_0)</f>
        <v>5481.72</v>
      </c>
      <c r="I37" s="21"/>
      <c r="J37" s="32">
        <f t="shared" ref="J37:J41" si="17">IF(H$12=0,0,H37/H$12)</f>
        <v>0.44214764710911653</v>
      </c>
      <c r="K37" s="4"/>
      <c r="L37" s="21">
        <f t="shared" ref="L37:L41" si="18">+D37-H37</f>
        <v>-1991.2200000000003</v>
      </c>
      <c r="M37" s="4"/>
      <c r="N37" s="32">
        <f t="shared" ref="N37:N41" si="19">IF(H37=0,0,L37/H37)</f>
        <v>-0.36324730194172633</v>
      </c>
      <c r="O37" s="10"/>
      <c r="P37" s="21">
        <f>SUM(OSRRefP22x_0)</f>
        <v>4253.5</v>
      </c>
      <c r="Q37" s="21"/>
      <c r="R37" s="32">
        <f t="shared" ref="R37:R41" si="20">IF(P$12=0,0,P37/P$12)</f>
        <v>0.25756091298940204</v>
      </c>
      <c r="S37" s="21"/>
      <c r="T37" s="21">
        <f>SUM(OSRRefT22x_0)</f>
        <v>6585.0700000000006</v>
      </c>
      <c r="U37" s="21"/>
      <c r="V37" s="32">
        <f t="shared" ref="V37:V41" si="21">IF(T$12=0,0,T37/T$12)</f>
        <v>0.53114227040943907</v>
      </c>
      <c r="W37" s="4"/>
      <c r="X37" s="21">
        <f t="shared" ref="X37:X41" si="22">+P37-T37</f>
        <v>-2331.5700000000006</v>
      </c>
      <c r="Y37" s="4"/>
      <c r="Z37" s="32">
        <f t="shared" ref="Z37:Z41" si="23">IF(T37=0,0,X37/T37)</f>
        <v>-0.35406912910568916</v>
      </c>
    </row>
    <row r="38" spans="1:26" s="28" customFormat="1" outlineLevel="1" collapsed="1" x14ac:dyDescent="0.3">
      <c r="A38" s="29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6"/>
        <v>0</v>
      </c>
      <c r="G38" s="1"/>
      <c r="H38" s="1">
        <f>SUM(OSRRefH22_0x_0)</f>
        <v>313.34000000000003</v>
      </c>
      <c r="I38" s="1"/>
      <c r="J38" s="5">
        <f t="shared" si="17"/>
        <v>2.5273553509695967E-2</v>
      </c>
      <c r="K38" s="1"/>
      <c r="L38" s="1">
        <f t="shared" si="18"/>
        <v>-313.34000000000003</v>
      </c>
      <c r="M38" s="1"/>
      <c r="N38" s="5">
        <f t="shared" si="19"/>
        <v>-1</v>
      </c>
      <c r="O38" s="14"/>
      <c r="P38" s="1">
        <f>SUM(OSRRefP22_0x_0)</f>
        <v>0</v>
      </c>
      <c r="Q38" s="1"/>
      <c r="R38" s="5">
        <f t="shared" si="20"/>
        <v>0</v>
      </c>
      <c r="S38" s="1"/>
      <c r="T38" s="1">
        <f>SUM(OSRRefT22_0x_0)</f>
        <v>313.34000000000003</v>
      </c>
      <c r="U38" s="1"/>
      <c r="V38" s="5">
        <f t="shared" si="21"/>
        <v>2.5273553509695967E-2</v>
      </c>
      <c r="W38" s="1"/>
      <c r="X38" s="1">
        <f t="shared" si="22"/>
        <v>-313.34000000000003</v>
      </c>
      <c r="Y38" s="1"/>
      <c r="Z38" s="5">
        <f t="shared" si="23"/>
        <v>-1</v>
      </c>
    </row>
    <row r="39" spans="1:26" s="24" customFormat="1" hidden="1" outlineLevel="2" x14ac:dyDescent="0.3">
      <c r="A39" s="27"/>
      <c r="B39" s="11" t="str">
        <f>CONCATENATE("          ", "6111", " - ", "F.I.C.A.")</f>
        <v xml:space="preserve">          6111 - F.I.C.A.</v>
      </c>
      <c r="C39" s="11"/>
      <c r="D39" s="7"/>
      <c r="E39" s="2"/>
      <c r="F39" s="8">
        <f t="shared" si="16"/>
        <v>0</v>
      </c>
      <c r="G39" s="2"/>
      <c r="H39" s="7">
        <v>257.36</v>
      </c>
      <c r="I39" s="2"/>
      <c r="J39" s="8">
        <f t="shared" si="17"/>
        <v>2.0758287263851899E-2</v>
      </c>
      <c r="K39" s="2"/>
      <c r="L39" s="7">
        <f t="shared" si="18"/>
        <v>-257.36</v>
      </c>
      <c r="M39" s="2"/>
      <c r="N39" s="8">
        <f t="shared" si="19"/>
        <v>-1</v>
      </c>
      <c r="O39" s="11"/>
      <c r="P39" s="7"/>
      <c r="Q39" s="2"/>
      <c r="R39" s="8">
        <f t="shared" si="20"/>
        <v>0</v>
      </c>
      <c r="S39" s="2"/>
      <c r="T39" s="7">
        <v>257.36</v>
      </c>
      <c r="U39" s="2"/>
      <c r="V39" s="8">
        <f t="shared" si="21"/>
        <v>2.0758287263851899E-2</v>
      </c>
      <c r="W39" s="2"/>
      <c r="X39" s="7">
        <f t="shared" si="22"/>
        <v>-257.36</v>
      </c>
      <c r="Y39" s="2"/>
      <c r="Z39" s="8">
        <f t="shared" si="23"/>
        <v>-1</v>
      </c>
    </row>
    <row r="40" spans="1:26" s="24" customFormat="1" hidden="1" outlineLevel="2" x14ac:dyDescent="0.3">
      <c r="A40" s="27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8">
        <f t="shared" si="16"/>
        <v>0</v>
      </c>
      <c r="G40" s="2"/>
      <c r="H40" s="7">
        <v>47.24</v>
      </c>
      <c r="I40" s="2"/>
      <c r="J40" s="8">
        <f t="shared" si="17"/>
        <v>3.8103104225379377E-3</v>
      </c>
      <c r="K40" s="2"/>
      <c r="L40" s="7">
        <f t="shared" si="18"/>
        <v>-47.24</v>
      </c>
      <c r="M40" s="2"/>
      <c r="N40" s="8">
        <f t="shared" si="19"/>
        <v>-1</v>
      </c>
      <c r="O40" s="11"/>
      <c r="P40" s="7"/>
      <c r="Q40" s="2"/>
      <c r="R40" s="8">
        <f t="shared" si="20"/>
        <v>0</v>
      </c>
      <c r="S40" s="2"/>
      <c r="T40" s="7">
        <v>47.24</v>
      </c>
      <c r="U40" s="2"/>
      <c r="V40" s="8">
        <f t="shared" si="21"/>
        <v>3.8103104225379377E-3</v>
      </c>
      <c r="W40" s="2"/>
      <c r="X40" s="7">
        <f t="shared" si="22"/>
        <v>-47.24</v>
      </c>
      <c r="Y40" s="2"/>
      <c r="Z40" s="8">
        <f t="shared" si="23"/>
        <v>-1</v>
      </c>
    </row>
    <row r="41" spans="1:26" s="24" customFormat="1" hidden="1" outlineLevel="2" x14ac:dyDescent="0.3">
      <c r="A41" s="27"/>
      <c r="B41" s="11" t="str">
        <f>CONCATENATE("          ", "6114", " - ", "STATE UNEMPLOYMENT INSURANCE")</f>
        <v xml:space="preserve">          6114 - STATE UNEMPLOYMENT INSURANCE</v>
      </c>
      <c r="C41" s="11"/>
      <c r="D41" s="7"/>
      <c r="E41" s="2"/>
      <c r="F41" s="8">
        <f t="shared" si="16"/>
        <v>0</v>
      </c>
      <c r="G41" s="2"/>
      <c r="H41" s="7">
        <v>8.74</v>
      </c>
      <c r="I41" s="2"/>
      <c r="J41" s="8">
        <f t="shared" si="17"/>
        <v>7.0495582330612992E-4</v>
      </c>
      <c r="K41" s="2"/>
      <c r="L41" s="7">
        <f t="shared" si="18"/>
        <v>-8.74</v>
      </c>
      <c r="M41" s="2"/>
      <c r="N41" s="8">
        <f t="shared" si="19"/>
        <v>-1</v>
      </c>
      <c r="O41" s="11"/>
      <c r="P41" s="7"/>
      <c r="Q41" s="2"/>
      <c r="R41" s="8">
        <f t="shared" si="20"/>
        <v>0</v>
      </c>
      <c r="S41" s="2"/>
      <c r="T41" s="7">
        <v>8.74</v>
      </c>
      <c r="U41" s="2"/>
      <c r="V41" s="8">
        <f t="shared" si="21"/>
        <v>7.0495582330612992E-4</v>
      </c>
      <c r="W41" s="2"/>
      <c r="X41" s="7">
        <f t="shared" si="22"/>
        <v>-8.74</v>
      </c>
      <c r="Y41" s="2"/>
      <c r="Z41" s="8">
        <f t="shared" si="23"/>
        <v>-1</v>
      </c>
    </row>
    <row r="42" spans="1:26" s="28" customFormat="1" outlineLevel="1" collapsed="1" x14ac:dyDescent="0.3">
      <c r="A42" s="29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0</v>
      </c>
      <c r="E42" s="1"/>
      <c r="F42" s="5">
        <f t="shared" ref="F42:F44" si="24">IF(D$12=0,0,D42/D$12)</f>
        <v>0</v>
      </c>
      <c r="G42" s="1"/>
      <c r="H42" s="1">
        <f>SUM(OSRRefH22_1x_0)</f>
        <v>4507.12</v>
      </c>
      <c r="I42" s="1"/>
      <c r="J42" s="5">
        <f t="shared" ref="J42:J44" si="25">IF(H$12=0,0,H42/H$12)</f>
        <v>0.36353781353999132</v>
      </c>
      <c r="K42" s="1"/>
      <c r="L42" s="1">
        <f t="shared" ref="L42:L44" si="26">+D42-H42</f>
        <v>-4507.12</v>
      </c>
      <c r="M42" s="1"/>
      <c r="N42" s="5">
        <f t="shared" ref="N42:N44" si="27">IF(H42=0,0,L42/H42)</f>
        <v>-1</v>
      </c>
      <c r="O42" s="14"/>
      <c r="P42" s="1">
        <f>SUM(OSRRefP22_1x_0)</f>
        <v>0</v>
      </c>
      <c r="Q42" s="1"/>
      <c r="R42" s="5">
        <f t="shared" ref="R42:R44" si="28">IF(P$12=0,0,P42/P$12)</f>
        <v>0</v>
      </c>
      <c r="S42" s="1"/>
      <c r="T42" s="1">
        <f>SUM(OSRRefT22_1x_0)</f>
        <v>4507.12</v>
      </c>
      <c r="U42" s="1"/>
      <c r="V42" s="5">
        <f t="shared" ref="V42:V44" si="29">IF(T$12=0,0,T42/T$12)</f>
        <v>0.36353781353999132</v>
      </c>
      <c r="W42" s="1"/>
      <c r="X42" s="1">
        <f t="shared" ref="X42:X44" si="30">+P42-T42</f>
        <v>-4507.12</v>
      </c>
      <c r="Y42" s="1"/>
      <c r="Z42" s="5">
        <f t="shared" ref="Z42:Z44" si="31">IF(T42=0,0,X42/T42)</f>
        <v>-1</v>
      </c>
    </row>
    <row r="43" spans="1:26" s="24" customFormat="1" hidden="1" outlineLevel="2" x14ac:dyDescent="0.3">
      <c r="A43" s="27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8">
        <f t="shared" si="24"/>
        <v>0</v>
      </c>
      <c r="G43" s="2"/>
      <c r="H43" s="7">
        <v>2408.23</v>
      </c>
      <c r="I43" s="2"/>
      <c r="J43" s="8">
        <f t="shared" si="25"/>
        <v>0.19424436640280562</v>
      </c>
      <c r="K43" s="2"/>
      <c r="L43" s="7">
        <f t="shared" si="26"/>
        <v>-2408.23</v>
      </c>
      <c r="M43" s="2"/>
      <c r="N43" s="8">
        <f t="shared" si="27"/>
        <v>-1</v>
      </c>
      <c r="O43" s="11"/>
      <c r="P43" s="7"/>
      <c r="Q43" s="2"/>
      <c r="R43" s="8">
        <f t="shared" si="28"/>
        <v>0</v>
      </c>
      <c r="S43" s="2"/>
      <c r="T43" s="7">
        <v>2408.23</v>
      </c>
      <c r="U43" s="2"/>
      <c r="V43" s="8">
        <f t="shared" si="29"/>
        <v>0.19424436640280562</v>
      </c>
      <c r="W43" s="2"/>
      <c r="X43" s="7">
        <f t="shared" si="30"/>
        <v>-2408.23</v>
      </c>
      <c r="Y43" s="2"/>
      <c r="Z43" s="8">
        <f t="shared" si="31"/>
        <v>-1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8">
        <f t="shared" si="24"/>
        <v>0</v>
      </c>
      <c r="G44" s="2"/>
      <c r="H44" s="7">
        <v>2098.89</v>
      </c>
      <c r="I44" s="2"/>
      <c r="J44" s="8">
        <f t="shared" si="25"/>
        <v>0.16929344713718567</v>
      </c>
      <c r="K44" s="2"/>
      <c r="L44" s="7">
        <f t="shared" si="26"/>
        <v>-2098.89</v>
      </c>
      <c r="M44" s="2"/>
      <c r="N44" s="8">
        <f t="shared" si="27"/>
        <v>-1</v>
      </c>
      <c r="O44" s="11"/>
      <c r="P44" s="7"/>
      <c r="Q44" s="2"/>
      <c r="R44" s="8">
        <f t="shared" si="28"/>
        <v>0</v>
      </c>
      <c r="S44" s="2"/>
      <c r="T44" s="7">
        <v>2098.89</v>
      </c>
      <c r="U44" s="2"/>
      <c r="V44" s="8">
        <f t="shared" si="29"/>
        <v>0.16929344713718567</v>
      </c>
      <c r="W44" s="2"/>
      <c r="X44" s="7">
        <f t="shared" si="30"/>
        <v>-2098.89</v>
      </c>
      <c r="Y44" s="2"/>
      <c r="Z44" s="8">
        <f t="shared" si="31"/>
        <v>-1</v>
      </c>
    </row>
    <row r="45" spans="1:26" s="28" customFormat="1" outlineLevel="1" collapsed="1" x14ac:dyDescent="0.3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35.28</v>
      </c>
      <c r="E45" s="1"/>
      <c r="F45" s="5">
        <f t="shared" ref="F45:F51" si="32">IF(D$12=0,0,D45/D$12)</f>
        <v>2.1362992853570248E-3</v>
      </c>
      <c r="G45" s="1"/>
      <c r="H45" s="1">
        <f>SUM(OSRRefH22_2x_0)</f>
        <v>0</v>
      </c>
      <c r="I45" s="1"/>
      <c r="J45" s="5">
        <f t="shared" ref="J45:J51" si="33">IF(H$12=0,0,H45/H$12)</f>
        <v>0</v>
      </c>
      <c r="K45" s="1"/>
      <c r="L45" s="1">
        <f t="shared" ref="L45:L51" si="34">+D45-H45</f>
        <v>35.28</v>
      </c>
      <c r="M45" s="1"/>
      <c r="N45" s="5">
        <f t="shared" ref="N45:N51" si="35">IF(H45=0,0,L45/H45)</f>
        <v>0</v>
      </c>
      <c r="O45" s="14"/>
      <c r="P45" s="1">
        <f>SUM(OSRRefP22_2x_0)</f>
        <v>135.28</v>
      </c>
      <c r="Q45" s="1"/>
      <c r="R45" s="5">
        <f t="shared" ref="R45:R51" si="36">IF(P$12=0,0,P45/P$12)</f>
        <v>8.1915693685685464E-3</v>
      </c>
      <c r="S45" s="1"/>
      <c r="T45" s="1">
        <f>SUM(OSRRefT22_2x_0)</f>
        <v>0</v>
      </c>
      <c r="U45" s="1"/>
      <c r="V45" s="5">
        <f t="shared" ref="V45:V51" si="37">IF(T$12=0,0,T45/T$12)</f>
        <v>0</v>
      </c>
      <c r="W45" s="1"/>
      <c r="X45" s="1">
        <f t="shared" ref="X45:X51" si="38">+P45-T45</f>
        <v>135.28</v>
      </c>
      <c r="Y45" s="1"/>
      <c r="Z45" s="5">
        <f t="shared" ref="Z45:Z51" si="39">IF(T45=0,0,X45/T45)</f>
        <v>0</v>
      </c>
    </row>
    <row r="46" spans="1:26" s="24" customFormat="1" hidden="1" outlineLevel="2" x14ac:dyDescent="0.3">
      <c r="A46" s="27"/>
      <c r="B46" s="11" t="str">
        <f>CONCATENATE("          ", "6362", " - ", "ADVERTISING EXPENSE")</f>
        <v xml:space="preserve">          6362 - ADVERTISING EXPENSE</v>
      </c>
      <c r="C46" s="11"/>
      <c r="D46" s="7">
        <v>35.28</v>
      </c>
      <c r="E46" s="2"/>
      <c r="F46" s="8">
        <f t="shared" si="32"/>
        <v>2.1362992853570248E-3</v>
      </c>
      <c r="G46" s="2"/>
      <c r="H46" s="7"/>
      <c r="I46" s="2"/>
      <c r="J46" s="8">
        <f t="shared" si="33"/>
        <v>0</v>
      </c>
      <c r="K46" s="2"/>
      <c r="L46" s="7">
        <f t="shared" si="34"/>
        <v>35.28</v>
      </c>
      <c r="M46" s="2"/>
      <c r="N46" s="8">
        <f t="shared" si="35"/>
        <v>0</v>
      </c>
      <c r="O46" s="11"/>
      <c r="P46" s="7">
        <v>135.28</v>
      </c>
      <c r="Q46" s="2"/>
      <c r="R46" s="8">
        <f t="shared" si="36"/>
        <v>8.1915693685685464E-3</v>
      </c>
      <c r="S46" s="2"/>
      <c r="T46" s="7"/>
      <c r="U46" s="2"/>
      <c r="V46" s="8">
        <f t="shared" si="37"/>
        <v>0</v>
      </c>
      <c r="W46" s="2"/>
      <c r="X46" s="7">
        <f t="shared" si="38"/>
        <v>135.28</v>
      </c>
      <c r="Y46" s="2"/>
      <c r="Z46" s="8">
        <f t="shared" si="39"/>
        <v>0</v>
      </c>
    </row>
    <row r="47" spans="1:26" s="28" customFormat="1" outlineLevel="1" collapsed="1" x14ac:dyDescent="0.3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-1.66</v>
      </c>
      <c r="E47" s="1"/>
      <c r="F47" s="5">
        <f t="shared" si="32"/>
        <v>-1.0051748338131124E-4</v>
      </c>
      <c r="G47" s="1"/>
      <c r="H47" s="1">
        <f>SUM(OSRRefH22_3x_0)</f>
        <v>0.3</v>
      </c>
      <c r="I47" s="1"/>
      <c r="J47" s="5">
        <f t="shared" si="33"/>
        <v>2.4197568305702396E-5</v>
      </c>
      <c r="K47" s="1"/>
      <c r="L47" s="1">
        <f t="shared" si="34"/>
        <v>-1.96</v>
      </c>
      <c r="M47" s="1"/>
      <c r="N47" s="5">
        <f t="shared" si="35"/>
        <v>-6.5333333333333332</v>
      </c>
      <c r="O47" s="14"/>
      <c r="P47" s="1">
        <f>SUM(OSRRefP22_3x_0)</f>
        <v>-1.66</v>
      </c>
      <c r="Q47" s="1"/>
      <c r="R47" s="5">
        <f t="shared" si="36"/>
        <v>-1.0051748338131124E-4</v>
      </c>
      <c r="S47" s="1"/>
      <c r="T47" s="1">
        <f>SUM(OSRRefT22_3x_0)</f>
        <v>0.3</v>
      </c>
      <c r="U47" s="1"/>
      <c r="V47" s="5">
        <f t="shared" si="37"/>
        <v>2.4197568305702396E-5</v>
      </c>
      <c r="W47" s="1"/>
      <c r="X47" s="1">
        <f t="shared" si="38"/>
        <v>-1.96</v>
      </c>
      <c r="Y47" s="1"/>
      <c r="Z47" s="5">
        <f t="shared" si="39"/>
        <v>-6.5333333333333332</v>
      </c>
    </row>
    <row r="48" spans="1:26" s="24" customFormat="1" hidden="1" outlineLevel="2" x14ac:dyDescent="0.3">
      <c r="A48" s="27"/>
      <c r="B48" s="11" t="str">
        <f>CONCATENATE("          ", "6272", " - ", "CASH (OVER/SHORT)")</f>
        <v xml:space="preserve">          6272 - CASH (OVER/SHORT)</v>
      </c>
      <c r="C48" s="11"/>
      <c r="D48" s="7">
        <v>-1.66</v>
      </c>
      <c r="E48" s="2"/>
      <c r="F48" s="8">
        <f t="shared" si="32"/>
        <v>-1.0051748338131124E-4</v>
      </c>
      <c r="G48" s="2"/>
      <c r="H48" s="7">
        <v>0.3</v>
      </c>
      <c r="I48" s="2"/>
      <c r="J48" s="8">
        <f t="shared" si="33"/>
        <v>2.4197568305702396E-5</v>
      </c>
      <c r="K48" s="2"/>
      <c r="L48" s="7">
        <f t="shared" si="34"/>
        <v>-1.96</v>
      </c>
      <c r="M48" s="2"/>
      <c r="N48" s="8">
        <f t="shared" si="35"/>
        <v>-6.5333333333333332</v>
      </c>
      <c r="O48" s="11"/>
      <c r="P48" s="7">
        <v>-1.66</v>
      </c>
      <c r="Q48" s="2"/>
      <c r="R48" s="8">
        <f t="shared" si="36"/>
        <v>-1.0051748338131124E-4</v>
      </c>
      <c r="S48" s="2"/>
      <c r="T48" s="7">
        <v>0.3</v>
      </c>
      <c r="U48" s="2"/>
      <c r="V48" s="8">
        <f t="shared" si="37"/>
        <v>2.4197568305702396E-5</v>
      </c>
      <c r="W48" s="2"/>
      <c r="X48" s="7">
        <f t="shared" si="38"/>
        <v>-1.96</v>
      </c>
      <c r="Y48" s="2"/>
      <c r="Z48" s="8">
        <f t="shared" si="39"/>
        <v>-6.5333333333333332</v>
      </c>
    </row>
    <row r="49" spans="1:26" s="28" customFormat="1" outlineLevel="1" collapsed="1" x14ac:dyDescent="0.3">
      <c r="A49" s="29"/>
      <c r="B49" s="14" t="str">
        <f>CONCATENATE("     ","Discounts and Markdowns                           ")</f>
        <v xml:space="preserve">     Discounts and Markdowns                           </v>
      </c>
      <c r="C49" s="14"/>
      <c r="D49" s="1">
        <f>SUM(OSRRefD22_4x_0)</f>
        <v>-69.38</v>
      </c>
      <c r="E49" s="1"/>
      <c r="F49" s="5">
        <f t="shared" si="32"/>
        <v>-4.201146383732153E-3</v>
      </c>
      <c r="G49" s="1"/>
      <c r="H49" s="1">
        <f>SUM(OSRRefH22_4x_0)</f>
        <v>0</v>
      </c>
      <c r="I49" s="1"/>
      <c r="J49" s="5">
        <f t="shared" si="33"/>
        <v>0</v>
      </c>
      <c r="K49" s="1"/>
      <c r="L49" s="1">
        <f t="shared" si="34"/>
        <v>-69.38</v>
      </c>
      <c r="M49" s="1"/>
      <c r="N49" s="5">
        <f t="shared" si="35"/>
        <v>0</v>
      </c>
      <c r="O49" s="14"/>
      <c r="P49" s="1">
        <f>SUM(OSRRefP22_4x_0)</f>
        <v>-69.38</v>
      </c>
      <c r="Q49" s="1"/>
      <c r="R49" s="5">
        <f t="shared" si="36"/>
        <v>-4.201146383732153E-3</v>
      </c>
      <c r="S49" s="1"/>
      <c r="T49" s="1">
        <f>SUM(OSRRefT22_4x_0)</f>
        <v>0</v>
      </c>
      <c r="U49" s="1"/>
      <c r="V49" s="5">
        <f t="shared" si="37"/>
        <v>0</v>
      </c>
      <c r="W49" s="1"/>
      <c r="X49" s="1">
        <f t="shared" si="38"/>
        <v>-69.38</v>
      </c>
      <c r="Y49" s="1"/>
      <c r="Z49" s="5">
        <f t="shared" si="39"/>
        <v>0</v>
      </c>
    </row>
    <row r="50" spans="1:26" s="24" customFormat="1" hidden="1" outlineLevel="2" x14ac:dyDescent="0.3">
      <c r="A50" s="27"/>
      <c r="B50" s="11" t="str">
        <f>CONCATENATE("          ", "6382", " - ", "DISCOUNTS/MARK DOWNS")</f>
        <v xml:space="preserve">          6382 - DISCOUNTS/MARK DOWNS</v>
      </c>
      <c r="C50" s="11"/>
      <c r="D50" s="7"/>
      <c r="E50" s="2"/>
      <c r="F50" s="8">
        <f t="shared" si="32"/>
        <v>0</v>
      </c>
      <c r="G50" s="2"/>
      <c r="H50" s="7">
        <v>0</v>
      </c>
      <c r="I50" s="2"/>
      <c r="J50" s="8">
        <f t="shared" si="33"/>
        <v>0</v>
      </c>
      <c r="K50" s="2"/>
      <c r="L50" s="7">
        <f t="shared" si="34"/>
        <v>0</v>
      </c>
      <c r="M50" s="2"/>
      <c r="N50" s="8">
        <f t="shared" si="35"/>
        <v>0</v>
      </c>
      <c r="O50" s="11"/>
      <c r="P50" s="7"/>
      <c r="Q50" s="2"/>
      <c r="R50" s="8">
        <f t="shared" si="36"/>
        <v>0</v>
      </c>
      <c r="S50" s="2"/>
      <c r="T50" s="7">
        <v>0</v>
      </c>
      <c r="U50" s="2"/>
      <c r="V50" s="8">
        <f t="shared" si="37"/>
        <v>0</v>
      </c>
      <c r="W50" s="2"/>
      <c r="X50" s="7">
        <f t="shared" si="38"/>
        <v>0</v>
      </c>
      <c r="Y50" s="2"/>
      <c r="Z50" s="8">
        <f t="shared" si="39"/>
        <v>0</v>
      </c>
    </row>
    <row r="51" spans="1:26" s="24" customFormat="1" hidden="1" outlineLevel="2" x14ac:dyDescent="0.3">
      <c r="A51" s="27"/>
      <c r="B51" s="11" t="str">
        <f>CONCATENATE("          ", "9175", " - ", "EARNED DISCOUNTS")</f>
        <v xml:space="preserve">          9175 - EARNED DISCOUNTS</v>
      </c>
      <c r="C51" s="11"/>
      <c r="D51" s="7">
        <v>-69.38</v>
      </c>
      <c r="E51" s="2"/>
      <c r="F51" s="8">
        <f t="shared" si="32"/>
        <v>-4.201146383732153E-3</v>
      </c>
      <c r="G51" s="2"/>
      <c r="H51" s="7"/>
      <c r="I51" s="2"/>
      <c r="J51" s="8">
        <f t="shared" si="33"/>
        <v>0</v>
      </c>
      <c r="K51" s="2"/>
      <c r="L51" s="7">
        <f t="shared" si="34"/>
        <v>-69.38</v>
      </c>
      <c r="M51" s="2"/>
      <c r="N51" s="8">
        <f t="shared" si="35"/>
        <v>0</v>
      </c>
      <c r="O51" s="11"/>
      <c r="P51" s="7">
        <v>-69.38</v>
      </c>
      <c r="Q51" s="2"/>
      <c r="R51" s="8">
        <f t="shared" si="36"/>
        <v>-4.201146383732153E-3</v>
      </c>
      <c r="S51" s="2"/>
      <c r="T51" s="7"/>
      <c r="U51" s="2"/>
      <c r="V51" s="8">
        <f t="shared" si="37"/>
        <v>0</v>
      </c>
      <c r="W51" s="2"/>
      <c r="X51" s="7">
        <f t="shared" si="38"/>
        <v>-69.38</v>
      </c>
      <c r="Y51" s="2"/>
      <c r="Z51" s="8">
        <f t="shared" si="39"/>
        <v>0</v>
      </c>
    </row>
    <row r="52" spans="1:26" s="28" customFormat="1" outlineLevel="1" collapsed="1" x14ac:dyDescent="0.3">
      <c r="A52" s="29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20</v>
      </c>
      <c r="E52" s="1"/>
      <c r="F52" s="5">
        <f t="shared" ref="F52:F60" si="40">IF(D$12=0,0,D52/D$12)</f>
        <v>1.2110540166423043E-3</v>
      </c>
      <c r="G52" s="1"/>
      <c r="H52" s="1">
        <f>SUM(OSRRefH22_5x_0)</f>
        <v>0</v>
      </c>
      <c r="I52" s="1"/>
      <c r="J52" s="5">
        <f t="shared" ref="J52:J60" si="41">IF(H$12=0,0,H52/H$12)</f>
        <v>0</v>
      </c>
      <c r="K52" s="1"/>
      <c r="L52" s="1">
        <f t="shared" ref="L52:L60" si="42">+D52-H52</f>
        <v>20</v>
      </c>
      <c r="M52" s="1"/>
      <c r="N52" s="5">
        <f t="shared" ref="N52:N60" si="43">IF(H52=0,0,L52/H52)</f>
        <v>0</v>
      </c>
      <c r="O52" s="14"/>
      <c r="P52" s="1">
        <f>SUM(OSRRefP22_5x_0)</f>
        <v>20</v>
      </c>
      <c r="Q52" s="1"/>
      <c r="R52" s="5">
        <f t="shared" ref="R52:R60" si="44">IF(P$12=0,0,P52/P$12)</f>
        <v>1.2110540166423043E-3</v>
      </c>
      <c r="S52" s="1"/>
      <c r="T52" s="1">
        <f>SUM(OSRRefT22_5x_0)</f>
        <v>0</v>
      </c>
      <c r="U52" s="1"/>
      <c r="V52" s="5">
        <f t="shared" ref="V52:V60" si="45">IF(T$12=0,0,T52/T$12)</f>
        <v>0</v>
      </c>
      <c r="W52" s="1"/>
      <c r="X52" s="1">
        <f t="shared" ref="X52:X60" si="46">+P52-T52</f>
        <v>20</v>
      </c>
      <c r="Y52" s="1"/>
      <c r="Z52" s="5">
        <f t="shared" ref="Z52:Z60" si="47">IF(T52=0,0,X52/T52)</f>
        <v>0</v>
      </c>
    </row>
    <row r="53" spans="1:26" s="24" customFormat="1" hidden="1" outlineLevel="2" x14ac:dyDescent="0.3">
      <c r="A53" s="27"/>
      <c r="B53" s="11" t="str">
        <f>CONCATENATE("          ", "6307", " - ", "POSTAGE")</f>
        <v xml:space="preserve">          6307 - POSTAGE</v>
      </c>
      <c r="C53" s="11"/>
      <c r="D53" s="7">
        <v>20</v>
      </c>
      <c r="E53" s="2"/>
      <c r="F53" s="8">
        <f t="shared" si="40"/>
        <v>1.2110540166423043E-3</v>
      </c>
      <c r="G53" s="2"/>
      <c r="H53" s="7"/>
      <c r="I53" s="2"/>
      <c r="J53" s="8">
        <f t="shared" si="41"/>
        <v>0</v>
      </c>
      <c r="K53" s="2"/>
      <c r="L53" s="7">
        <f t="shared" si="42"/>
        <v>20</v>
      </c>
      <c r="M53" s="2"/>
      <c r="N53" s="8">
        <f t="shared" si="43"/>
        <v>0</v>
      </c>
      <c r="O53" s="11"/>
      <c r="P53" s="7">
        <v>20</v>
      </c>
      <c r="Q53" s="2"/>
      <c r="R53" s="8">
        <f t="shared" si="44"/>
        <v>1.2110540166423043E-3</v>
      </c>
      <c r="S53" s="2"/>
      <c r="T53" s="7"/>
      <c r="U53" s="2"/>
      <c r="V53" s="8">
        <f t="shared" si="45"/>
        <v>0</v>
      </c>
      <c r="W53" s="2"/>
      <c r="X53" s="7">
        <f t="shared" si="46"/>
        <v>20</v>
      </c>
      <c r="Y53" s="2"/>
      <c r="Z53" s="8">
        <f t="shared" si="47"/>
        <v>0</v>
      </c>
    </row>
    <row r="54" spans="1:26" s="28" customFormat="1" outlineLevel="1" collapsed="1" x14ac:dyDescent="0.3">
      <c r="A54" s="29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SUM(OSRRefD22_6x_0)</f>
        <v>228.04</v>
      </c>
      <c r="E54" s="1"/>
      <c r="F54" s="5">
        <f t="shared" si="40"/>
        <v>1.3808437897755552E-2</v>
      </c>
      <c r="G54" s="1"/>
      <c r="H54" s="1">
        <f>SUM(OSRRefH22_6x_0)</f>
        <v>0</v>
      </c>
      <c r="I54" s="1"/>
      <c r="J54" s="5">
        <f t="shared" si="41"/>
        <v>0</v>
      </c>
      <c r="K54" s="1"/>
      <c r="L54" s="1">
        <f t="shared" si="42"/>
        <v>228.04</v>
      </c>
      <c r="M54" s="1"/>
      <c r="N54" s="5">
        <f t="shared" si="43"/>
        <v>0</v>
      </c>
      <c r="O54" s="14"/>
      <c r="P54" s="1">
        <f>SUM(OSRRefP22_6x_0)</f>
        <v>228.04</v>
      </c>
      <c r="Q54" s="1"/>
      <c r="R54" s="5">
        <f t="shared" si="44"/>
        <v>1.3808437897755552E-2</v>
      </c>
      <c r="S54" s="1"/>
      <c r="T54" s="1">
        <f>SUM(OSRRefT22_6x_0)</f>
        <v>719.55</v>
      </c>
      <c r="U54" s="1"/>
      <c r="V54" s="5">
        <f t="shared" si="45"/>
        <v>5.8037867581227198E-2</v>
      </c>
      <c r="W54" s="1"/>
      <c r="X54" s="1">
        <f t="shared" si="46"/>
        <v>-491.51</v>
      </c>
      <c r="Y54" s="1"/>
      <c r="Z54" s="5">
        <f t="shared" si="47"/>
        <v>-0.68307970259189776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7">
        <v>228.04</v>
      </c>
      <c r="E55" s="2"/>
      <c r="F55" s="8">
        <f t="shared" si="40"/>
        <v>1.3808437897755552E-2</v>
      </c>
      <c r="G55" s="2"/>
      <c r="H55" s="7"/>
      <c r="I55" s="2"/>
      <c r="J55" s="8">
        <f t="shared" si="41"/>
        <v>0</v>
      </c>
      <c r="K55" s="2"/>
      <c r="L55" s="7">
        <f t="shared" si="42"/>
        <v>228.04</v>
      </c>
      <c r="M55" s="2"/>
      <c r="N55" s="8">
        <f t="shared" si="43"/>
        <v>0</v>
      </c>
      <c r="O55" s="11"/>
      <c r="P55" s="7">
        <v>228.04</v>
      </c>
      <c r="Q55" s="2"/>
      <c r="R55" s="8">
        <f t="shared" si="44"/>
        <v>1.3808437897755552E-2</v>
      </c>
      <c r="S55" s="2"/>
      <c r="T55" s="7">
        <v>719.55</v>
      </c>
      <c r="U55" s="2"/>
      <c r="V55" s="8">
        <f t="shared" si="45"/>
        <v>5.8037867581227198E-2</v>
      </c>
      <c r="W55" s="2"/>
      <c r="X55" s="7">
        <f t="shared" si="46"/>
        <v>-491.51</v>
      </c>
      <c r="Y55" s="2"/>
      <c r="Z55" s="8">
        <f t="shared" si="47"/>
        <v>-0.68307970259189776</v>
      </c>
    </row>
    <row r="56" spans="1:26" s="28" customFormat="1" outlineLevel="1" collapsed="1" x14ac:dyDescent="0.3">
      <c r="A56" s="29"/>
      <c r="B56" s="14" t="str">
        <f>CONCATENATE("     ","Inventory Adjustment                              ")</f>
        <v xml:space="preserve">     Inventory Adjustment                              </v>
      </c>
      <c r="C56" s="14"/>
      <c r="D56" s="1">
        <f>SUM(OSRRefD22_7x_0)</f>
        <v>650</v>
      </c>
      <c r="E56" s="1"/>
      <c r="F56" s="5">
        <f t="shared" si="40"/>
        <v>3.9359255540874889E-2</v>
      </c>
      <c r="G56" s="1"/>
      <c r="H56" s="1">
        <f>SUM(OSRRefH22_7x_0)</f>
        <v>0</v>
      </c>
      <c r="I56" s="1"/>
      <c r="J56" s="5">
        <f t="shared" si="41"/>
        <v>0</v>
      </c>
      <c r="K56" s="1"/>
      <c r="L56" s="1">
        <f t="shared" si="42"/>
        <v>650</v>
      </c>
      <c r="M56" s="1"/>
      <c r="N56" s="5">
        <f t="shared" si="43"/>
        <v>0</v>
      </c>
      <c r="O56" s="14"/>
      <c r="P56" s="1">
        <f>SUM(OSRRefP22_7x_0)</f>
        <v>1300</v>
      </c>
      <c r="Q56" s="1"/>
      <c r="R56" s="5">
        <f t="shared" si="44"/>
        <v>7.8718511081749779E-2</v>
      </c>
      <c r="S56" s="1"/>
      <c r="T56" s="1">
        <f>SUM(OSRRefT22_7x_0)</f>
        <v>0</v>
      </c>
      <c r="U56" s="1"/>
      <c r="V56" s="5">
        <f t="shared" si="45"/>
        <v>0</v>
      </c>
      <c r="W56" s="1"/>
      <c r="X56" s="1">
        <f t="shared" si="46"/>
        <v>1300</v>
      </c>
      <c r="Y56" s="1"/>
      <c r="Z56" s="5">
        <f t="shared" si="47"/>
        <v>0</v>
      </c>
    </row>
    <row r="57" spans="1:26" s="24" customFormat="1" hidden="1" outlineLevel="2" x14ac:dyDescent="0.3">
      <c r="A57" s="27"/>
      <c r="B57" s="11" t="str">
        <f>CONCATENATE("          ", "6408", " - ", "INVENTORY ADJUSTMENT")</f>
        <v xml:space="preserve">          6408 - INVENTORY ADJUSTMENT</v>
      </c>
      <c r="C57" s="11"/>
      <c r="D57" s="7">
        <v>650</v>
      </c>
      <c r="E57" s="2"/>
      <c r="F57" s="8">
        <f t="shared" si="40"/>
        <v>3.9359255540874889E-2</v>
      </c>
      <c r="G57" s="2"/>
      <c r="H57" s="7"/>
      <c r="I57" s="2"/>
      <c r="J57" s="8">
        <f t="shared" si="41"/>
        <v>0</v>
      </c>
      <c r="K57" s="2"/>
      <c r="L57" s="7">
        <f t="shared" si="42"/>
        <v>650</v>
      </c>
      <c r="M57" s="2"/>
      <c r="N57" s="8">
        <f t="shared" si="43"/>
        <v>0</v>
      </c>
      <c r="O57" s="11"/>
      <c r="P57" s="7">
        <v>1300</v>
      </c>
      <c r="Q57" s="2"/>
      <c r="R57" s="8">
        <f t="shared" si="44"/>
        <v>7.8718511081749779E-2</v>
      </c>
      <c r="S57" s="2"/>
      <c r="T57" s="7"/>
      <c r="U57" s="2"/>
      <c r="V57" s="8">
        <f t="shared" si="45"/>
        <v>0</v>
      </c>
      <c r="W57" s="2"/>
      <c r="X57" s="7">
        <f t="shared" si="46"/>
        <v>1300</v>
      </c>
      <c r="Y57" s="2"/>
      <c r="Z57" s="8">
        <f t="shared" si="47"/>
        <v>0</v>
      </c>
    </row>
    <row r="58" spans="1:26" s="28" customFormat="1" outlineLevel="1" collapsed="1" x14ac:dyDescent="0.3">
      <c r="A58" s="29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SUM(OSRRefD22_8x_0)</f>
        <v>173.68</v>
      </c>
      <c r="E58" s="1"/>
      <c r="F58" s="5">
        <f t="shared" si="40"/>
        <v>1.051679308052177E-2</v>
      </c>
      <c r="G58" s="1"/>
      <c r="H58" s="1">
        <f>SUM(OSRRefH22_8x_0)</f>
        <v>78.599999999999994</v>
      </c>
      <c r="I58" s="1"/>
      <c r="J58" s="5">
        <f t="shared" si="41"/>
        <v>6.3397628960940276E-3</v>
      </c>
      <c r="K58" s="1"/>
      <c r="L58" s="1">
        <f t="shared" si="42"/>
        <v>95.080000000000013</v>
      </c>
      <c r="M58" s="1"/>
      <c r="N58" s="5">
        <f t="shared" si="43"/>
        <v>1.2096692111959291</v>
      </c>
      <c r="O58" s="14"/>
      <c r="P58" s="1">
        <f>SUM(OSRRefP22_8x_0)</f>
        <v>173.68</v>
      </c>
      <c r="Q58" s="1"/>
      <c r="R58" s="5">
        <f t="shared" si="44"/>
        <v>1.051679308052177E-2</v>
      </c>
      <c r="S58" s="1"/>
      <c r="T58" s="1">
        <f>SUM(OSRRefT22_8x_0)</f>
        <v>78.599999999999994</v>
      </c>
      <c r="U58" s="1"/>
      <c r="V58" s="5">
        <f t="shared" si="45"/>
        <v>6.3397628960940276E-3</v>
      </c>
      <c r="W58" s="1"/>
      <c r="X58" s="1">
        <f t="shared" si="46"/>
        <v>95.080000000000013</v>
      </c>
      <c r="Y58" s="1"/>
      <c r="Z58" s="5">
        <f t="shared" si="47"/>
        <v>1.2096692111959291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8">
        <f t="shared" si="40"/>
        <v>0</v>
      </c>
      <c r="G59" s="2"/>
      <c r="H59" s="7">
        <v>78.599999999999994</v>
      </c>
      <c r="I59" s="2"/>
      <c r="J59" s="8">
        <f t="shared" si="41"/>
        <v>6.3397628960940276E-3</v>
      </c>
      <c r="K59" s="2"/>
      <c r="L59" s="7">
        <f t="shared" si="42"/>
        <v>-78.599999999999994</v>
      </c>
      <c r="M59" s="2"/>
      <c r="N59" s="8">
        <f t="shared" si="43"/>
        <v>-1</v>
      </c>
      <c r="O59" s="11"/>
      <c r="P59" s="7"/>
      <c r="Q59" s="2"/>
      <c r="R59" s="8">
        <f t="shared" si="44"/>
        <v>0</v>
      </c>
      <c r="S59" s="2"/>
      <c r="T59" s="7">
        <v>78.599999999999994</v>
      </c>
      <c r="U59" s="2"/>
      <c r="V59" s="8">
        <f t="shared" si="45"/>
        <v>6.3397628960940276E-3</v>
      </c>
      <c r="W59" s="2"/>
      <c r="X59" s="7">
        <f t="shared" si="46"/>
        <v>-78.599999999999994</v>
      </c>
      <c r="Y59" s="2"/>
      <c r="Z59" s="8">
        <f t="shared" si="47"/>
        <v>-1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173.68</v>
      </c>
      <c r="E60" s="2"/>
      <c r="F60" s="8">
        <f t="shared" si="40"/>
        <v>1.051679308052177E-2</v>
      </c>
      <c r="G60" s="2"/>
      <c r="H60" s="7"/>
      <c r="I60" s="2"/>
      <c r="J60" s="8">
        <f t="shared" si="41"/>
        <v>0</v>
      </c>
      <c r="K60" s="2"/>
      <c r="L60" s="7">
        <f t="shared" si="42"/>
        <v>173.68</v>
      </c>
      <c r="M60" s="2"/>
      <c r="N60" s="8">
        <f t="shared" si="43"/>
        <v>0</v>
      </c>
      <c r="O60" s="11"/>
      <c r="P60" s="7">
        <v>173.68</v>
      </c>
      <c r="Q60" s="2"/>
      <c r="R60" s="8">
        <f t="shared" si="44"/>
        <v>1.051679308052177E-2</v>
      </c>
      <c r="S60" s="2"/>
      <c r="T60" s="7"/>
      <c r="U60" s="2"/>
      <c r="V60" s="8">
        <f t="shared" si="45"/>
        <v>0</v>
      </c>
      <c r="W60" s="2"/>
      <c r="X60" s="7">
        <f t="shared" si="46"/>
        <v>173.68</v>
      </c>
      <c r="Y60" s="2"/>
      <c r="Z60" s="8">
        <f t="shared" si="47"/>
        <v>0</v>
      </c>
    </row>
    <row r="61" spans="1:26" s="28" customFormat="1" outlineLevel="1" collapsed="1" x14ac:dyDescent="0.3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2301.4899999999998</v>
      </c>
      <c r="E61" s="1"/>
      <c r="F61" s="5">
        <f t="shared" ref="F61:F63" si="48">IF(D$12=0,0,D61/D$12)</f>
        <v>0.13936143543810484</v>
      </c>
      <c r="G61" s="1"/>
      <c r="H61" s="1">
        <f>SUM(OSRRefH22_9x_0)</f>
        <v>44</v>
      </c>
      <c r="I61" s="1"/>
      <c r="J61" s="5">
        <f t="shared" ref="J61:J63" si="49">IF(H$12=0,0,H61/H$12)</f>
        <v>3.5489766848363518E-3</v>
      </c>
      <c r="K61" s="1"/>
      <c r="L61" s="1">
        <f t="shared" ref="L61:L63" si="50">+D61-H61</f>
        <v>2257.4899999999998</v>
      </c>
      <c r="M61" s="1"/>
      <c r="N61" s="5">
        <f t="shared" ref="N61:N63" si="51">IF(H61=0,0,L61/H61)</f>
        <v>51.306590909090907</v>
      </c>
      <c r="O61" s="14"/>
      <c r="P61" s="1">
        <f>SUM(OSRRefP22_9x_0)</f>
        <v>2301.4899999999998</v>
      </c>
      <c r="Q61" s="1"/>
      <c r="R61" s="5">
        <f t="shared" ref="R61:R63" si="52">IF(P$12=0,0,P61/P$12)</f>
        <v>0.13936143543810484</v>
      </c>
      <c r="S61" s="1"/>
      <c r="T61" s="1">
        <f>SUM(OSRRefT22_9x_0)</f>
        <v>-69.5</v>
      </c>
      <c r="U61" s="1"/>
      <c r="V61" s="5">
        <f t="shared" ref="V61:V63" si="53">IF(T$12=0,0,T61/T$12)</f>
        <v>-5.6057699908210554E-3</v>
      </c>
      <c r="W61" s="1"/>
      <c r="X61" s="1">
        <f t="shared" ref="X61:X63" si="54">+P61-T61</f>
        <v>2370.9899999999998</v>
      </c>
      <c r="Y61" s="1"/>
      <c r="Z61" s="5">
        <f t="shared" ref="Z61:Z63" si="55">IF(T61=0,0,X61/T61)</f>
        <v>-34.114964028776974</v>
      </c>
    </row>
    <row r="62" spans="1:26" s="24" customFormat="1" hidden="1" outlineLevel="2" x14ac:dyDescent="0.3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8">
        <f t="shared" si="48"/>
        <v>0</v>
      </c>
      <c r="G62" s="2"/>
      <c r="H62" s="7">
        <v>44</v>
      </c>
      <c r="I62" s="2"/>
      <c r="J62" s="8">
        <f t="shared" si="49"/>
        <v>3.5489766848363518E-3</v>
      </c>
      <c r="K62" s="2"/>
      <c r="L62" s="7">
        <f t="shared" si="50"/>
        <v>-44</v>
      </c>
      <c r="M62" s="2"/>
      <c r="N62" s="8">
        <f t="shared" si="51"/>
        <v>-1</v>
      </c>
      <c r="O62" s="11"/>
      <c r="P62" s="7"/>
      <c r="Q62" s="2"/>
      <c r="R62" s="8">
        <f t="shared" si="52"/>
        <v>0</v>
      </c>
      <c r="S62" s="2"/>
      <c r="T62" s="7">
        <v>88</v>
      </c>
      <c r="U62" s="2"/>
      <c r="V62" s="8">
        <f t="shared" si="53"/>
        <v>7.0979533696727036E-3</v>
      </c>
      <c r="W62" s="2"/>
      <c r="X62" s="7">
        <f t="shared" si="54"/>
        <v>-88</v>
      </c>
      <c r="Y62" s="2"/>
      <c r="Z62" s="8">
        <f t="shared" si="55"/>
        <v>-1</v>
      </c>
    </row>
    <row r="63" spans="1:26" s="24" customFormat="1" hidden="1" outlineLevel="2" x14ac:dyDescent="0.3">
      <c r="A63" s="27"/>
      <c r="B63" s="11" t="str">
        <f>CONCATENATE("          ", "6285", " - ", "JANITORIAL SERVICES")</f>
        <v xml:space="preserve">          6285 - JANITORIAL SERVICES</v>
      </c>
      <c r="C63" s="11"/>
      <c r="D63" s="7">
        <v>2301.4899999999998</v>
      </c>
      <c r="E63" s="2"/>
      <c r="F63" s="8">
        <f t="shared" si="48"/>
        <v>0.13936143543810484</v>
      </c>
      <c r="G63" s="2"/>
      <c r="H63" s="7"/>
      <c r="I63" s="2"/>
      <c r="J63" s="8">
        <f t="shared" si="49"/>
        <v>0</v>
      </c>
      <c r="K63" s="2"/>
      <c r="L63" s="7">
        <f t="shared" si="50"/>
        <v>2301.4899999999998</v>
      </c>
      <c r="M63" s="2"/>
      <c r="N63" s="8">
        <f t="shared" si="51"/>
        <v>0</v>
      </c>
      <c r="O63" s="11"/>
      <c r="P63" s="7">
        <v>2301.4899999999998</v>
      </c>
      <c r="Q63" s="2"/>
      <c r="R63" s="8">
        <f t="shared" si="52"/>
        <v>0.13936143543810484</v>
      </c>
      <c r="S63" s="2"/>
      <c r="T63" s="7">
        <v>-157.5</v>
      </c>
      <c r="U63" s="2"/>
      <c r="V63" s="8">
        <f t="shared" si="53"/>
        <v>-1.2703723360493758E-2</v>
      </c>
      <c r="W63" s="2"/>
      <c r="X63" s="7">
        <f t="shared" si="54"/>
        <v>2458.9899999999998</v>
      </c>
      <c r="Y63" s="2"/>
      <c r="Z63" s="8">
        <f t="shared" si="55"/>
        <v>-15.612634920634919</v>
      </c>
    </row>
    <row r="64" spans="1:26" s="28" customFormat="1" outlineLevel="1" collapsed="1" x14ac:dyDescent="0.3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100.05</v>
      </c>
      <c r="E64" s="1"/>
      <c r="F64" s="5">
        <f t="shared" ref="F64:F67" si="56">IF(D$12=0,0,D64/D$12)</f>
        <v>6.0582977182531269E-3</v>
      </c>
      <c r="G64" s="1"/>
      <c r="H64" s="1">
        <f>SUM(OSRRefH22_10x_0)</f>
        <v>485.36</v>
      </c>
      <c r="I64" s="1"/>
      <c r="J64" s="5">
        <f t="shared" ref="J64:J67" si="57">IF(H$12=0,0,H64/H$12)</f>
        <v>3.9148439176185719E-2</v>
      </c>
      <c r="K64" s="1"/>
      <c r="L64" s="1">
        <f t="shared" ref="L64:L67" si="58">+D64-H64</f>
        <v>-385.31</v>
      </c>
      <c r="M64" s="1"/>
      <c r="N64" s="5">
        <f t="shared" ref="N64:N67" si="59">IF(H64=0,0,L64/H64)</f>
        <v>-0.79386434811274109</v>
      </c>
      <c r="O64" s="14"/>
      <c r="P64" s="1">
        <f>SUM(OSRRefP22_10x_0)</f>
        <v>100.05</v>
      </c>
      <c r="Q64" s="1"/>
      <c r="R64" s="5">
        <f t="shared" ref="R64:R67" si="60">IF(P$12=0,0,P64/P$12)</f>
        <v>6.0582977182531269E-3</v>
      </c>
      <c r="S64" s="1"/>
      <c r="T64" s="1">
        <f>SUM(OSRRefT22_10x_0)</f>
        <v>929.66</v>
      </c>
      <c r="U64" s="1"/>
      <c r="V64" s="5">
        <f t="shared" ref="V64:V67" si="61">IF(T$12=0,0,T64/T$12)</f>
        <v>7.4985037836930973E-2</v>
      </c>
      <c r="W64" s="1"/>
      <c r="X64" s="1">
        <f t="shared" ref="X64:X67" si="62">+P64-T64</f>
        <v>-829.61</v>
      </c>
      <c r="Y64" s="1"/>
      <c r="Z64" s="5">
        <f t="shared" ref="Z64:Z67" si="63">IF(T64=0,0,X64/T64)</f>
        <v>-0.89238000989609112</v>
      </c>
    </row>
    <row r="65" spans="1:26" s="24" customFormat="1" hidden="1" outlineLevel="2" x14ac:dyDescent="0.3">
      <c r="A65" s="27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8">
        <f t="shared" si="56"/>
        <v>0</v>
      </c>
      <c r="G65" s="2"/>
      <c r="H65" s="7"/>
      <c r="I65" s="2"/>
      <c r="J65" s="8">
        <f t="shared" si="57"/>
        <v>0</v>
      </c>
      <c r="K65" s="2"/>
      <c r="L65" s="7">
        <f t="shared" si="58"/>
        <v>0</v>
      </c>
      <c r="M65" s="2"/>
      <c r="N65" s="8">
        <f t="shared" si="59"/>
        <v>0</v>
      </c>
      <c r="O65" s="11"/>
      <c r="P65" s="7"/>
      <c r="Q65" s="2"/>
      <c r="R65" s="8">
        <f t="shared" si="60"/>
        <v>0</v>
      </c>
      <c r="S65" s="2"/>
      <c r="T65" s="7">
        <v>444.3</v>
      </c>
      <c r="U65" s="2"/>
      <c r="V65" s="8">
        <f t="shared" si="61"/>
        <v>3.5836598660745254E-2</v>
      </c>
      <c r="W65" s="2"/>
      <c r="X65" s="7">
        <f t="shared" si="62"/>
        <v>-444.3</v>
      </c>
      <c r="Y65" s="2"/>
      <c r="Z65" s="8">
        <f t="shared" si="63"/>
        <v>-1</v>
      </c>
    </row>
    <row r="66" spans="1:26" s="24" customFormat="1" hidden="1" outlineLevel="2" x14ac:dyDescent="0.3">
      <c r="A66" s="27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8">
        <f t="shared" si="56"/>
        <v>0</v>
      </c>
      <c r="G66" s="2"/>
      <c r="H66" s="7">
        <v>225.24</v>
      </c>
      <c r="I66" s="2"/>
      <c r="J66" s="8">
        <f t="shared" si="57"/>
        <v>1.8167534283921361E-2</v>
      </c>
      <c r="K66" s="2"/>
      <c r="L66" s="7">
        <f t="shared" si="58"/>
        <v>-225.24</v>
      </c>
      <c r="M66" s="2"/>
      <c r="N66" s="8">
        <f t="shared" si="59"/>
        <v>-1</v>
      </c>
      <c r="O66" s="11"/>
      <c r="P66" s="7"/>
      <c r="Q66" s="2"/>
      <c r="R66" s="8">
        <f t="shared" si="60"/>
        <v>0</v>
      </c>
      <c r="S66" s="2"/>
      <c r="T66" s="7">
        <v>225.24</v>
      </c>
      <c r="U66" s="2"/>
      <c r="V66" s="8">
        <f t="shared" si="61"/>
        <v>1.8167534283921361E-2</v>
      </c>
      <c r="W66" s="2"/>
      <c r="X66" s="7">
        <f t="shared" si="62"/>
        <v>-225.24</v>
      </c>
      <c r="Y66" s="2"/>
      <c r="Z66" s="8">
        <f t="shared" si="63"/>
        <v>-1</v>
      </c>
    </row>
    <row r="67" spans="1:26" s="24" customFormat="1" hidden="1" outlineLevel="2" x14ac:dyDescent="0.3">
      <c r="A67" s="27"/>
      <c r="B67" s="11" t="str">
        <f>CONCATENATE("          ", "6247", " - ", "STORE SUPPLIES")</f>
        <v xml:space="preserve">          6247 - STORE SUPPLIES</v>
      </c>
      <c r="C67" s="11"/>
      <c r="D67" s="7">
        <v>100.05</v>
      </c>
      <c r="E67" s="2"/>
      <c r="F67" s="8">
        <f t="shared" si="56"/>
        <v>6.0582977182531269E-3</v>
      </c>
      <c r="G67" s="2"/>
      <c r="H67" s="7">
        <v>260.12</v>
      </c>
      <c r="I67" s="2"/>
      <c r="J67" s="8">
        <f t="shared" si="57"/>
        <v>2.0980904892264361E-2</v>
      </c>
      <c r="K67" s="2"/>
      <c r="L67" s="7">
        <f t="shared" si="58"/>
        <v>-160.07</v>
      </c>
      <c r="M67" s="2"/>
      <c r="N67" s="8">
        <f t="shared" si="59"/>
        <v>-0.61536982930954942</v>
      </c>
      <c r="O67" s="11"/>
      <c r="P67" s="7">
        <v>100.05</v>
      </c>
      <c r="Q67" s="2"/>
      <c r="R67" s="8">
        <f t="shared" si="60"/>
        <v>6.0582977182531269E-3</v>
      </c>
      <c r="S67" s="2"/>
      <c r="T67" s="7">
        <v>260.12</v>
      </c>
      <c r="U67" s="2"/>
      <c r="V67" s="8">
        <f t="shared" si="61"/>
        <v>2.0980904892264361E-2</v>
      </c>
      <c r="W67" s="2"/>
      <c r="X67" s="7">
        <f t="shared" si="62"/>
        <v>-160.07</v>
      </c>
      <c r="Y67" s="2"/>
      <c r="Z67" s="8">
        <f t="shared" si="63"/>
        <v>-0.61536982930954942</v>
      </c>
    </row>
    <row r="68" spans="1:26" s="28" customFormat="1" outlineLevel="1" collapsed="1" x14ac:dyDescent="0.3">
      <c r="A68" s="29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53</v>
      </c>
      <c r="E68" s="1"/>
      <c r="F68" s="5">
        <f t="shared" ref="F68:F69" si="64">IF(D$12=0,0,D68/D$12)</f>
        <v>3.2092931441021063E-3</v>
      </c>
      <c r="G68" s="1"/>
      <c r="H68" s="1">
        <f>SUM(OSRRefH22_11x_0)</f>
        <v>53</v>
      </c>
      <c r="I68" s="1"/>
      <c r="J68" s="5">
        <f t="shared" ref="J68:J69" si="65">IF(H$12=0,0,H68/H$12)</f>
        <v>4.2749037340074235E-3</v>
      </c>
      <c r="K68" s="1"/>
      <c r="L68" s="1">
        <f t="shared" ref="L68:L69" si="66">+D68-H68</f>
        <v>0</v>
      </c>
      <c r="M68" s="1"/>
      <c r="N68" s="5">
        <f t="shared" ref="N68:N69" si="67">IF(H68=0,0,L68/H68)</f>
        <v>0</v>
      </c>
      <c r="O68" s="14"/>
      <c r="P68" s="1">
        <f>SUM(OSRRefP22_11x_0)</f>
        <v>66</v>
      </c>
      <c r="Q68" s="1"/>
      <c r="R68" s="5">
        <f t="shared" ref="R68:R69" si="68">IF(P$12=0,0,P68/P$12)</f>
        <v>3.996478254919604E-3</v>
      </c>
      <c r="S68" s="1"/>
      <c r="T68" s="1">
        <f>SUM(OSRRefT22_11x_0)</f>
        <v>106</v>
      </c>
      <c r="U68" s="1"/>
      <c r="V68" s="5">
        <f t="shared" ref="V68:V69" si="69">IF(T$12=0,0,T68/T$12)</f>
        <v>8.5498074680148469E-3</v>
      </c>
      <c r="W68" s="1"/>
      <c r="X68" s="1">
        <f t="shared" ref="X68:X69" si="70">+P68-T68</f>
        <v>-40</v>
      </c>
      <c r="Y68" s="1"/>
      <c r="Z68" s="5">
        <f t="shared" ref="Z68:Z69" si="71">IF(T68=0,0,X68/T68)</f>
        <v>-0.37735849056603776</v>
      </c>
    </row>
    <row r="69" spans="1:26" s="24" customFormat="1" hidden="1" outlineLevel="2" x14ac:dyDescent="0.3">
      <c r="A69" s="27"/>
      <c r="B69" s="11" t="str">
        <f>CONCATENATE("          ", "6309", " - ", "TELEPHONE")</f>
        <v xml:space="preserve">          6309 - TELEPHONE</v>
      </c>
      <c r="C69" s="11"/>
      <c r="D69" s="7">
        <v>53</v>
      </c>
      <c r="E69" s="2"/>
      <c r="F69" s="8">
        <f t="shared" si="64"/>
        <v>3.2092931441021063E-3</v>
      </c>
      <c r="G69" s="2"/>
      <c r="H69" s="7">
        <v>53</v>
      </c>
      <c r="I69" s="2"/>
      <c r="J69" s="8">
        <f t="shared" si="65"/>
        <v>4.2749037340074235E-3</v>
      </c>
      <c r="K69" s="2"/>
      <c r="L69" s="7">
        <f t="shared" si="66"/>
        <v>0</v>
      </c>
      <c r="M69" s="2"/>
      <c r="N69" s="8">
        <f t="shared" si="67"/>
        <v>0</v>
      </c>
      <c r="O69" s="11"/>
      <c r="P69" s="7">
        <v>66</v>
      </c>
      <c r="Q69" s="2"/>
      <c r="R69" s="8">
        <f t="shared" si="68"/>
        <v>3.996478254919604E-3</v>
      </c>
      <c r="S69" s="2"/>
      <c r="T69" s="7">
        <v>106</v>
      </c>
      <c r="U69" s="2"/>
      <c r="V69" s="8">
        <f t="shared" si="69"/>
        <v>8.5498074680148469E-3</v>
      </c>
      <c r="W69" s="2"/>
      <c r="X69" s="7">
        <f t="shared" si="70"/>
        <v>-40</v>
      </c>
      <c r="Y69" s="2"/>
      <c r="Z69" s="8">
        <f t="shared" si="71"/>
        <v>-0.37735849056603776</v>
      </c>
    </row>
    <row r="70" spans="1:26" s="61" customFormat="1" x14ac:dyDescent="0.3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3">
      <c r="A71" s="10"/>
      <c r="B71" s="26" t="s">
        <v>292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3">
      <c r="A72" s="9"/>
      <c r="B72" s="10"/>
      <c r="C72" s="10"/>
      <c r="D72" s="3"/>
      <c r="E72" s="3"/>
      <c r="F72" s="6"/>
      <c r="G72" s="3"/>
      <c r="H72" s="3"/>
      <c r="I72" s="3"/>
      <c r="J72" s="6"/>
      <c r="K72" s="3"/>
      <c r="L72" s="3"/>
      <c r="M72" s="3"/>
      <c r="N72" s="6"/>
      <c r="O72" s="10"/>
      <c r="P72" s="3"/>
      <c r="Q72" s="3"/>
      <c r="R72" s="6"/>
      <c r="S72" s="3"/>
      <c r="T72" s="3"/>
      <c r="U72" s="3"/>
      <c r="V72" s="6"/>
      <c r="W72" s="3"/>
      <c r="X72" s="3"/>
      <c r="Y72" s="3"/>
      <c r="Z72" s="6"/>
    </row>
    <row r="73" spans="1:26" s="23" customFormat="1" x14ac:dyDescent="0.3">
      <c r="A73" s="10"/>
      <c r="B73" s="25" t="s">
        <v>276</v>
      </c>
      <c r="C73" s="25"/>
      <c r="D73" s="20">
        <f>+D35-D37+D71</f>
        <v>3338.4799999999996</v>
      </c>
      <c r="E73" s="13"/>
      <c r="F73" s="22">
        <f>IF(D$12=0,0,D73/D$12)</f>
        <v>0.20215398067399998</v>
      </c>
      <c r="G73" s="13"/>
      <c r="H73" s="20">
        <f>+H35-H37+H71</f>
        <v>-2088.7799999999997</v>
      </c>
      <c r="I73" s="13"/>
      <c r="J73" s="22">
        <f>IF(H$12=0,0,H73/H$12)</f>
        <v>-0.1684779890852835</v>
      </c>
      <c r="K73" s="15"/>
      <c r="L73" s="20">
        <f>+D73-H73</f>
        <v>5427.2599999999993</v>
      </c>
      <c r="M73" s="15"/>
      <c r="N73" s="22">
        <f>IF(H73=0,0,L73/H73)</f>
        <v>-2.5982918258504966</v>
      </c>
      <c r="O73" s="26"/>
      <c r="P73" s="20">
        <f>+P35-P37+P71</f>
        <v>2575.4799999999996</v>
      </c>
      <c r="Q73" s="13"/>
      <c r="R73" s="22">
        <f>IF(P$12=0,0,P73/P$12)</f>
        <v>0.15595226993909606</v>
      </c>
      <c r="S73" s="13"/>
      <c r="T73" s="20">
        <f>+T35-T37+T71</f>
        <v>-3230.1799999999994</v>
      </c>
      <c r="U73" s="13"/>
      <c r="V73" s="22">
        <f>IF(T$12=0,0,T73/T$12)</f>
        <v>-0.26054167063237921</v>
      </c>
      <c r="W73" s="15"/>
      <c r="X73" s="20">
        <f>+P73-T73</f>
        <v>5805.6599999999989</v>
      </c>
      <c r="Y73" s="15"/>
      <c r="Z73" s="22">
        <f>IF(T73=0,0,X73/T73)</f>
        <v>-1.7973177965314626</v>
      </c>
    </row>
    <row r="74" spans="1:26" x14ac:dyDescent="0.3">
      <c r="A74" s="9"/>
      <c r="B74" s="10"/>
      <c r="C74" s="9"/>
      <c r="D74" s="3"/>
      <c r="E74" s="3"/>
      <c r="F74" s="6"/>
      <c r="G74" s="3"/>
      <c r="H74" s="3"/>
      <c r="I74" s="3"/>
      <c r="J74" s="6"/>
      <c r="K74" s="3"/>
      <c r="L74" s="3"/>
      <c r="M74" s="3"/>
      <c r="N74" s="6"/>
      <c r="P74" s="3"/>
      <c r="Q74" s="3"/>
      <c r="R74" s="6"/>
      <c r="S74" s="3"/>
      <c r="T74" s="3"/>
      <c r="U74" s="3"/>
      <c r="V74" s="6"/>
      <c r="W74" s="3"/>
      <c r="X74" s="3"/>
      <c r="Y74" s="3"/>
      <c r="Z74" s="6"/>
    </row>
    <row r="75" spans="1:26" s="23" customFormat="1" x14ac:dyDescent="0.3">
      <c r="A75" s="51"/>
      <c r="B75" s="10" t="s">
        <v>127</v>
      </c>
      <c r="C75" s="10"/>
      <c r="D75" s="4">
        <v>2467.8200000000002</v>
      </c>
      <c r="E75" s="4"/>
      <c r="F75" s="12">
        <f>IF(D$12=0,0,D75/D$12)</f>
        <v>0.14943316616751057</v>
      </c>
      <c r="G75" s="4"/>
      <c r="H75" s="4">
        <v>2093.23</v>
      </c>
      <c r="I75" s="4"/>
      <c r="J75" s="12">
        <f>IF(H$12=0,0,H75/H$12)</f>
        <v>0.1688369196818181</v>
      </c>
      <c r="K75" s="4"/>
      <c r="L75" s="4">
        <f>+D75-H75</f>
        <v>374.59000000000015</v>
      </c>
      <c r="M75" s="4"/>
      <c r="N75" s="12">
        <f>IF(H75=0,0,L75/H75)</f>
        <v>0.17895310118811605</v>
      </c>
      <c r="O75" s="10"/>
      <c r="P75" s="4">
        <v>2467.8200000000002</v>
      </c>
      <c r="Q75" s="4"/>
      <c r="R75" s="12">
        <f>IF(P$12=0,0,P75/P$12)</f>
        <v>0.14943316616751057</v>
      </c>
      <c r="S75" s="4"/>
      <c r="T75" s="4">
        <v>2093.23</v>
      </c>
      <c r="U75" s="4"/>
      <c r="V75" s="12">
        <f>IF(T$12=0,0,T75/T$12)</f>
        <v>0.1688369196818181</v>
      </c>
      <c r="W75" s="4"/>
      <c r="X75" s="4">
        <f>+P75-T75</f>
        <v>374.59000000000015</v>
      </c>
      <c r="Y75" s="4"/>
      <c r="Z75" s="12">
        <f>IF(T75=0,0,X75/T75)</f>
        <v>0.17895310118811605</v>
      </c>
    </row>
    <row r="76" spans="1:26" x14ac:dyDescent="0.3">
      <c r="A76" s="9"/>
      <c r="B76" s="10"/>
      <c r="C76" s="10"/>
      <c r="D76" s="3"/>
      <c r="E76" s="3"/>
      <c r="F76" s="6"/>
      <c r="G76" s="3"/>
      <c r="H76" s="3"/>
      <c r="I76" s="3"/>
      <c r="J76" s="6"/>
      <c r="K76" s="3"/>
      <c r="L76" s="3"/>
      <c r="M76" s="3"/>
      <c r="N76" s="6"/>
      <c r="O76" s="10"/>
      <c r="P76" s="3"/>
      <c r="Q76" s="3"/>
      <c r="R76" s="6"/>
      <c r="S76" s="3"/>
      <c r="T76" s="3"/>
      <c r="U76" s="3"/>
      <c r="V76" s="6"/>
      <c r="W76" s="3"/>
      <c r="X76" s="3"/>
      <c r="Y76" s="3"/>
      <c r="Z76" s="6"/>
    </row>
    <row r="77" spans="1:26" s="23" customFormat="1" ht="15" thickBot="1" x14ac:dyDescent="0.35">
      <c r="A77" s="10"/>
      <c r="B77" s="25" t="s">
        <v>125</v>
      </c>
      <c r="C77" s="25"/>
      <c r="D77" s="33">
        <f>+D73-D75</f>
        <v>870.6599999999994</v>
      </c>
      <c r="E77" s="13"/>
      <c r="F77" s="36">
        <f>IF(D$12=0,0,D77/D$12)</f>
        <v>5.2720814506489397E-2</v>
      </c>
      <c r="G77" s="13"/>
      <c r="H77" s="33">
        <f>+H73-H75</f>
        <v>-4182.01</v>
      </c>
      <c r="I77" s="13"/>
      <c r="J77" s="36">
        <f>IF(H$12=0,0,H77/H$12)</f>
        <v>-0.33731490876710163</v>
      </c>
      <c r="K77" s="15"/>
      <c r="L77" s="33">
        <f>D77-H77</f>
        <v>5052.67</v>
      </c>
      <c r="M77" s="15"/>
      <c r="N77" s="36">
        <f>IF(H77=0,0,L77/H77)</f>
        <v>-1.2081917546825569</v>
      </c>
      <c r="O77" s="26"/>
      <c r="P77" s="33">
        <f>+P73-P75</f>
        <v>107.6599999999994</v>
      </c>
      <c r="Q77" s="13"/>
      <c r="R77" s="36">
        <f>IF(P$12=0,0,P77/P$12)</f>
        <v>6.5191037715854874E-3</v>
      </c>
      <c r="S77" s="13"/>
      <c r="T77" s="33">
        <f>+T73-T75</f>
        <v>-5323.41</v>
      </c>
      <c r="U77" s="13"/>
      <c r="V77" s="36">
        <f>IF(T$12=0,0,T77/T$12)</f>
        <v>-0.42937859031419734</v>
      </c>
      <c r="W77" s="15"/>
      <c r="X77" s="33">
        <f>P77-T77</f>
        <v>5431.07</v>
      </c>
      <c r="Y77" s="15"/>
      <c r="Z77" s="36">
        <f>IF(T77=0,0,X77/T77)</f>
        <v>-1.0202238790549667</v>
      </c>
    </row>
    <row r="78" spans="1:26" ht="15" thickTop="1" x14ac:dyDescent="0.3">
      <c r="A78" s="9"/>
      <c r="B78" s="9"/>
      <c r="C78" s="9"/>
      <c r="D78" s="3"/>
      <c r="E78" s="3"/>
      <c r="F78" s="6"/>
      <c r="G78" s="3"/>
      <c r="H78" s="3"/>
      <c r="I78" s="3"/>
      <c r="J78" s="6"/>
      <c r="K78" s="3"/>
      <c r="L78" s="3"/>
      <c r="M78" s="3"/>
      <c r="N78" s="6"/>
      <c r="P78" s="3"/>
      <c r="Q78" s="3"/>
      <c r="R78" s="6"/>
      <c r="S78" s="3"/>
      <c r="T78" s="3"/>
      <c r="U78" s="3"/>
      <c r="V78" s="6"/>
      <c r="W78" s="3"/>
      <c r="X78" s="3"/>
      <c r="Y78" s="3"/>
      <c r="Z78" s="6"/>
    </row>
    <row r="79" spans="1:26" x14ac:dyDescent="0.3">
      <c r="A79" s="9"/>
      <c r="B79" s="9"/>
      <c r="C79" s="9"/>
      <c r="D79" s="3"/>
      <c r="E79" s="3"/>
      <c r="F79" s="6"/>
      <c r="G79" s="3"/>
      <c r="H79" s="3"/>
      <c r="I79" s="3"/>
      <c r="J79" s="6"/>
      <c r="K79" s="3"/>
      <c r="L79" s="3"/>
      <c r="M79" s="3"/>
      <c r="N79" s="6"/>
      <c r="P79" s="3"/>
      <c r="Q79" s="3"/>
      <c r="R79" s="6"/>
      <c r="S79" s="3"/>
      <c r="T79" s="3"/>
      <c r="U79" s="3"/>
      <c r="V79" s="6"/>
      <c r="W79" s="3"/>
      <c r="X79" s="3"/>
      <c r="Y79" s="3"/>
      <c r="Z79" s="6"/>
    </row>
    <row r="80" spans="1:26" s="23" customFormat="1" ht="15" thickBot="1" x14ac:dyDescent="0.35">
      <c r="A80" s="10"/>
      <c r="B80" s="25" t="s">
        <v>293</v>
      </c>
      <c r="C80" s="25"/>
      <c r="D80" s="30">
        <f>SUM(D77:D79)</f>
        <v>870.6599999999994</v>
      </c>
      <c r="E80" s="13"/>
      <c r="F80" s="31">
        <f>IF(D$12=0,0,D80/D$12)</f>
        <v>5.2720814506489397E-2</v>
      </c>
      <c r="G80" s="13"/>
      <c r="H80" s="30">
        <f>SUM(H77:H79)</f>
        <v>-4182.01</v>
      </c>
      <c r="I80" s="13"/>
      <c r="J80" s="31">
        <f>IF(H$12=0,0,H80/H$12)</f>
        <v>-0.33731490876710163</v>
      </c>
      <c r="K80" s="15"/>
      <c r="L80" s="30">
        <f>+D80-H80</f>
        <v>5052.67</v>
      </c>
      <c r="M80" s="15"/>
      <c r="N80" s="31">
        <f>IF(H80=0,0,L80/H80)</f>
        <v>-1.2081917546825569</v>
      </c>
      <c r="O80" s="26"/>
      <c r="P80" s="30">
        <f>SUM(P77:P79)</f>
        <v>107.6599999999994</v>
      </c>
      <c r="Q80" s="13"/>
      <c r="R80" s="31">
        <f>IF(P$12=0,0,P80/P$12)</f>
        <v>6.5191037715854874E-3</v>
      </c>
      <c r="S80" s="13"/>
      <c r="T80" s="30">
        <f>SUM(T77:T79)</f>
        <v>-5323.41</v>
      </c>
      <c r="U80" s="13"/>
      <c r="V80" s="31">
        <f>IF(T$12=0,0,T80/T$12)</f>
        <v>-0.42937859031419734</v>
      </c>
      <c r="W80" s="15"/>
      <c r="X80" s="30">
        <f>+P80-T80</f>
        <v>5431.07</v>
      </c>
      <c r="Y80" s="15"/>
      <c r="Z80" s="31">
        <f>IF(T80=0,0,X80/T80)</f>
        <v>-1.0202238790549667</v>
      </c>
    </row>
    <row r="81" spans="1:24" ht="15" thickTop="1" x14ac:dyDescent="0.3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59">
        <v>44470.840542939812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A83" s="9"/>
      <c r="B83" s="58" t="s">
        <v>56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3">
      <c r="A84" s="9"/>
      <c r="B84" s="52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3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1009670.64</v>
      </c>
      <c r="E12" s="4"/>
      <c r="F12" s="12"/>
      <c r="G12" s="4"/>
      <c r="H12" s="4">
        <f>SUM(OSRRefH13x_0)</f>
        <v>1226108.5600000003</v>
      </c>
      <c r="I12" s="4"/>
      <c r="J12" s="12"/>
      <c r="K12" s="4"/>
      <c r="L12" s="4">
        <f t="shared" ref="L12:L33" si="0">+D12-H12</f>
        <v>-216437.92000000027</v>
      </c>
      <c r="M12" s="4"/>
      <c r="N12" s="12">
        <f t="shared" ref="N12:N33" si="1">IF(H12=0,0,L12/H12)</f>
        <v>-0.17652427122766373</v>
      </c>
      <c r="O12" s="10"/>
      <c r="P12" s="4">
        <f>SUM(OSRRefP13x_0)</f>
        <v>1071785.46</v>
      </c>
      <c r="Q12" s="4"/>
      <c r="R12" s="12"/>
      <c r="S12" s="4"/>
      <c r="T12" s="4">
        <f>SUM(OSRRefT13x_0)</f>
        <v>1274147.1199999999</v>
      </c>
      <c r="U12" s="4"/>
      <c r="V12" s="12"/>
      <c r="W12" s="4"/>
      <c r="X12" s="4">
        <f t="shared" ref="X12:X33" si="2">+P12-T12</f>
        <v>-202361.65999999992</v>
      </c>
      <c r="Y12" s="4"/>
      <c r="Z12" s="12">
        <f t="shared" ref="Z12:Z33" si="3">IF(T12=0,0,X12/T12)</f>
        <v>-0.15882126704489191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--738389.15</f>
        <v>738389.15</v>
      </c>
      <c r="E13" s="2"/>
      <c r="F13" s="19"/>
      <c r="G13" s="2"/>
      <c r="H13" s="2">
        <f>-3258.19</f>
        <v>-3258.19</v>
      </c>
      <c r="I13" s="2"/>
      <c r="J13" s="19"/>
      <c r="K13" s="2"/>
      <c r="L13" s="2">
        <f t="shared" si="0"/>
        <v>741647.34</v>
      </c>
      <c r="M13" s="2"/>
      <c r="N13" s="19">
        <f t="shared" si="1"/>
        <v>-227.6255651143733</v>
      </c>
      <c r="O13" s="11"/>
      <c r="P13" s="2">
        <f>--773223.06</f>
        <v>773223.06</v>
      </c>
      <c r="Q13" s="2"/>
      <c r="R13" s="19"/>
      <c r="S13" s="2"/>
      <c r="T13" s="2">
        <f>-4028.26</f>
        <v>-4028.26</v>
      </c>
      <c r="U13" s="2"/>
      <c r="V13" s="19"/>
      <c r="W13" s="2"/>
      <c r="X13" s="2">
        <f t="shared" si="2"/>
        <v>777251.32000000007</v>
      </c>
      <c r="Y13" s="2"/>
      <c r="Z13" s="19">
        <f t="shared" si="3"/>
        <v>-192.94964078783397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--572249.47</f>
        <v>572249.47</v>
      </c>
      <c r="I14" s="2"/>
      <c r="J14" s="19"/>
      <c r="K14" s="2"/>
      <c r="L14" s="2">
        <f t="shared" si="0"/>
        <v>-572249.47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--584197.32</f>
        <v>584197.31999999995</v>
      </c>
      <c r="U14" s="2"/>
      <c r="V14" s="19"/>
      <c r="W14" s="2"/>
      <c r="X14" s="2">
        <f t="shared" si="2"/>
        <v>-584197.31999999995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--265582.82</f>
        <v>265582.82</v>
      </c>
      <c r="I15" s="2"/>
      <c r="J15" s="19"/>
      <c r="K15" s="2"/>
      <c r="L15" s="2">
        <f t="shared" si="0"/>
        <v>-265582.82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--278612.16</f>
        <v>278612.15999999997</v>
      </c>
      <c r="U15" s="2"/>
      <c r="V15" s="19"/>
      <c r="W15" s="2"/>
      <c r="X15" s="2">
        <f t="shared" si="2"/>
        <v>-278612.15999999997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--298959.6</f>
        <v>298959.59999999998</v>
      </c>
      <c r="E21" s="2"/>
      <c r="F21" s="19"/>
      <c r="G21" s="2"/>
      <c r="H21" s="2">
        <f>--150360.03</f>
        <v>150360.03</v>
      </c>
      <c r="I21" s="2"/>
      <c r="J21" s="19"/>
      <c r="K21" s="2"/>
      <c r="L21" s="2">
        <f t="shared" si="0"/>
        <v>148599.56999999998</v>
      </c>
      <c r="M21" s="2"/>
      <c r="N21" s="19">
        <f t="shared" si="1"/>
        <v>0.98829170225624441</v>
      </c>
      <c r="O21" s="11"/>
      <c r="P21" s="2">
        <f>--328143.9</f>
        <v>328143.90000000002</v>
      </c>
      <c r="Q21" s="2"/>
      <c r="R21" s="19"/>
      <c r="S21" s="2"/>
      <c r="T21" s="2">
        <f>--153398.33</f>
        <v>153398.32999999999</v>
      </c>
      <c r="U21" s="2"/>
      <c r="V21" s="19"/>
      <c r="W21" s="2"/>
      <c r="X21" s="2">
        <f t="shared" si="2"/>
        <v>174745.57000000004</v>
      </c>
      <c r="Y21" s="2"/>
      <c r="Z21" s="19">
        <f t="shared" si="3"/>
        <v>1.1391621408133976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5" si="6">0</f>
        <v>0</v>
      </c>
      <c r="E22" s="2"/>
      <c r="F22" s="19"/>
      <c r="G22" s="2"/>
      <c r="H22" s="2">
        <f>--41238.82</f>
        <v>41238.82</v>
      </c>
      <c r="I22" s="2"/>
      <c r="J22" s="19"/>
      <c r="K22" s="2"/>
      <c r="L22" s="2">
        <f t="shared" si="0"/>
        <v>-41238.82</v>
      </c>
      <c r="M22" s="2"/>
      <c r="N22" s="19">
        <f t="shared" si="1"/>
        <v>-1</v>
      </c>
      <c r="O22" s="11"/>
      <c r="P22" s="2">
        <f t="shared" ref="P22:P25" si="7">0</f>
        <v>0</v>
      </c>
      <c r="Q22" s="2"/>
      <c r="R22" s="19"/>
      <c r="S22" s="2"/>
      <c r="T22" s="2">
        <f>--51580.68</f>
        <v>51580.68</v>
      </c>
      <c r="U22" s="2"/>
      <c r="V22" s="19"/>
      <c r="W22" s="2"/>
      <c r="X22" s="2">
        <f t="shared" si="2"/>
        <v>-51580.68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--17373.3</f>
        <v>17373.3</v>
      </c>
      <c r="I23" s="2"/>
      <c r="J23" s="19"/>
      <c r="K23" s="2"/>
      <c r="L23" s="2">
        <f t="shared" si="0"/>
        <v>-17373.3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--21563.74</f>
        <v>21563.74</v>
      </c>
      <c r="U23" s="2"/>
      <c r="V23" s="19"/>
      <c r="W23" s="2"/>
      <c r="X23" s="2">
        <f t="shared" si="2"/>
        <v>-21563.74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 t="shared" si="6"/>
        <v>0</v>
      </c>
      <c r="E24" s="2"/>
      <c r="F24" s="19"/>
      <c r="G24" s="2"/>
      <c r="H24" s="2">
        <f>--205404.66</f>
        <v>205404.66</v>
      </c>
      <c r="I24" s="2"/>
      <c r="J24" s="19"/>
      <c r="K24" s="2"/>
      <c r="L24" s="2">
        <f t="shared" si="0"/>
        <v>-205404.66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--212890.18</f>
        <v>212890.18</v>
      </c>
      <c r="U24" s="2"/>
      <c r="V24" s="19"/>
      <c r="W24" s="2"/>
      <c r="X24" s="2">
        <f t="shared" si="2"/>
        <v>-212890.18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"4118", " - ", "NON-TAXABLE SALES-STUDY GUIDES")</f>
        <v xml:space="preserve">          4118 - NON-TAXABLE SALES-STUDY GUIDES</v>
      </c>
      <c r="C25" s="11"/>
      <c r="D25" s="2">
        <f t="shared" si="6"/>
        <v>0</v>
      </c>
      <c r="E25" s="2"/>
      <c r="F25" s="19"/>
      <c r="G25" s="2"/>
      <c r="H25" s="2">
        <f>--47.87</f>
        <v>47.87</v>
      </c>
      <c r="I25" s="2"/>
      <c r="J25" s="19"/>
      <c r="K25" s="2"/>
      <c r="L25" s="2">
        <f t="shared" si="0"/>
        <v>-47.87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--101.83</f>
        <v>101.83</v>
      </c>
      <c r="U25" s="2"/>
      <c r="V25" s="19"/>
      <c r="W25" s="2"/>
      <c r="X25" s="2">
        <f t="shared" si="2"/>
        <v>-101.83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"4200", " - ", "TAXABLE RETURNS")</f>
        <v xml:space="preserve">          4200 - TAXABLE RETURNS</v>
      </c>
      <c r="C26" s="11"/>
      <c r="D26" s="2">
        <f>-11488.38</f>
        <v>-11488.38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-11488.38</v>
      </c>
      <c r="M26" s="2"/>
      <c r="N26" s="19">
        <f t="shared" si="1"/>
        <v>0</v>
      </c>
      <c r="O26" s="11"/>
      <c r="P26" s="2">
        <f>-12409.04</f>
        <v>-12409.04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-12409.04</v>
      </c>
      <c r="Y26" s="2"/>
      <c r="Z26" s="19">
        <f t="shared" si="3"/>
        <v>0</v>
      </c>
    </row>
    <row r="27" spans="1:26" s="24" customFormat="1" hidden="1" outlineLevel="1" x14ac:dyDescent="0.3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 t="shared" ref="D27:D29" si="8">0</f>
        <v>0</v>
      </c>
      <c r="E27" s="2"/>
      <c r="F27" s="19"/>
      <c r="G27" s="2"/>
      <c r="H27" s="2">
        <f>-18222.39</f>
        <v>-18222.39</v>
      </c>
      <c r="I27" s="2"/>
      <c r="J27" s="19"/>
      <c r="K27" s="2"/>
      <c r="L27" s="2">
        <f t="shared" si="0"/>
        <v>18222.39</v>
      </c>
      <c r="M27" s="2"/>
      <c r="N27" s="19">
        <f t="shared" si="1"/>
        <v>-1</v>
      </c>
      <c r="O27" s="11"/>
      <c r="P27" s="2">
        <f t="shared" ref="P27:P29" si="9">0</f>
        <v>0</v>
      </c>
      <c r="Q27" s="2"/>
      <c r="R27" s="19"/>
      <c r="S27" s="2"/>
      <c r="T27" s="2">
        <f>-18855.79</f>
        <v>-18855.79</v>
      </c>
      <c r="U27" s="2"/>
      <c r="V27" s="19"/>
      <c r="W27" s="2"/>
      <c r="X27" s="2">
        <f t="shared" si="2"/>
        <v>18855.79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 t="shared" si="8"/>
        <v>0</v>
      </c>
      <c r="E28" s="2"/>
      <c r="F28" s="19"/>
      <c r="G28" s="2"/>
      <c r="H28" s="2">
        <f>-8869.4</f>
        <v>-8869.4</v>
      </c>
      <c r="I28" s="2"/>
      <c r="J28" s="19"/>
      <c r="K28" s="2"/>
      <c r="L28" s="2">
        <f t="shared" si="0"/>
        <v>8869.4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-9047.75</f>
        <v>-9047.75</v>
      </c>
      <c r="U28" s="2"/>
      <c r="V28" s="19"/>
      <c r="W28" s="2"/>
      <c r="X28" s="2">
        <f t="shared" si="2"/>
        <v>9047.75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si="8"/>
        <v>0</v>
      </c>
      <c r="E29" s="2"/>
      <c r="F29" s="19"/>
      <c r="G29" s="2"/>
      <c r="H29" s="2">
        <f>-1141.08</f>
        <v>-1141.08</v>
      </c>
      <c r="I29" s="2"/>
      <c r="J29" s="19"/>
      <c r="K29" s="2"/>
      <c r="L29" s="2">
        <f t="shared" si="0"/>
        <v>1141.08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-1141.08</f>
        <v>-1141.08</v>
      </c>
      <c r="U29" s="2"/>
      <c r="V29" s="19"/>
      <c r="W29" s="2"/>
      <c r="X29" s="2">
        <f t="shared" si="2"/>
        <v>1141.08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"4300", " - ", "NON-TAX RETURNS")</f>
        <v xml:space="preserve">          4300 - NON-TAX RETURNS</v>
      </c>
      <c r="C30" s="11"/>
      <c r="D30" s="2">
        <f>-16189.73</f>
        <v>-16189.73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-16189.73</v>
      </c>
      <c r="M30" s="2"/>
      <c r="N30" s="19">
        <f t="shared" si="1"/>
        <v>0</v>
      </c>
      <c r="O30" s="11"/>
      <c r="P30" s="2">
        <f>-17172.46</f>
        <v>-17172.46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-17172.46</v>
      </c>
      <c r="Y30" s="2"/>
      <c r="Z30" s="19">
        <f t="shared" si="3"/>
        <v>0</v>
      </c>
    </row>
    <row r="31" spans="1:26" s="24" customFormat="1" hidden="1" outlineLevel="1" x14ac:dyDescent="0.3">
      <c r="A31" s="44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 t="shared" ref="D31:D33" si="10">0</f>
        <v>0</v>
      </c>
      <c r="E31" s="2"/>
      <c r="F31" s="19"/>
      <c r="G31" s="2"/>
      <c r="H31" s="2">
        <f>-20.25</f>
        <v>-20.25</v>
      </c>
      <c r="I31" s="2"/>
      <c r="J31" s="19"/>
      <c r="K31" s="2"/>
      <c r="L31" s="2">
        <f t="shared" si="0"/>
        <v>20.25</v>
      </c>
      <c r="M31" s="2"/>
      <c r="N31" s="19">
        <f t="shared" si="1"/>
        <v>-1</v>
      </c>
      <c r="O31" s="11"/>
      <c r="P31" s="2">
        <f t="shared" ref="P31:P33" si="11">0</f>
        <v>0</v>
      </c>
      <c r="Q31" s="2"/>
      <c r="R31" s="19"/>
      <c r="S31" s="2"/>
      <c r="T31" s="2">
        <f>-20.25</f>
        <v>-20.25</v>
      </c>
      <c r="U31" s="2"/>
      <c r="V31" s="19"/>
      <c r="W31" s="2"/>
      <c r="X31" s="2">
        <f t="shared" si="2"/>
        <v>20.25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 t="shared" si="10"/>
        <v>0</v>
      </c>
      <c r="E32" s="2"/>
      <c r="F32" s="19"/>
      <c r="G32" s="2"/>
      <c r="H32" s="2">
        <f>-346.17</f>
        <v>-346.17</v>
      </c>
      <c r="I32" s="2"/>
      <c r="J32" s="19"/>
      <c r="K32" s="2"/>
      <c r="L32" s="2">
        <f t="shared" si="0"/>
        <v>346.17</v>
      </c>
      <c r="M32" s="2"/>
      <c r="N32" s="19">
        <f t="shared" si="1"/>
        <v>-1</v>
      </c>
      <c r="O32" s="11"/>
      <c r="P32" s="2">
        <f t="shared" si="11"/>
        <v>0</v>
      </c>
      <c r="Q32" s="2"/>
      <c r="R32" s="19"/>
      <c r="S32" s="2"/>
      <c r="T32" s="2">
        <f>-409.84</f>
        <v>-409.84</v>
      </c>
      <c r="U32" s="2"/>
      <c r="V32" s="19"/>
      <c r="W32" s="2"/>
      <c r="X32" s="2">
        <f t="shared" si="2"/>
        <v>409.84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 t="shared" si="10"/>
        <v>0</v>
      </c>
      <c r="E33" s="2"/>
      <c r="F33" s="19"/>
      <c r="G33" s="2"/>
      <c r="H33" s="2">
        <f>-5500.68</f>
        <v>-5500.68</v>
      </c>
      <c r="I33" s="2"/>
      <c r="J33" s="19"/>
      <c r="K33" s="2"/>
      <c r="L33" s="2">
        <f t="shared" si="0"/>
        <v>5500.68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-5952.73</f>
        <v>-5952.73</v>
      </c>
      <c r="U33" s="2"/>
      <c r="V33" s="19"/>
      <c r="W33" s="2"/>
      <c r="X33" s="2">
        <f t="shared" si="2"/>
        <v>5952.73</v>
      </c>
      <c r="Y33" s="2"/>
      <c r="Z33" s="19">
        <f t="shared" si="3"/>
        <v>-1</v>
      </c>
    </row>
    <row r="34" spans="1:26" x14ac:dyDescent="0.3">
      <c r="A34" s="9"/>
      <c r="B34" s="10"/>
      <c r="C34" s="9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802451.48</v>
      </c>
      <c r="E35" s="4"/>
      <c r="F35" s="12">
        <f t="shared" ref="F35:F48" si="12">IF(D$12=0,0,D35/D$12)</f>
        <v>0.79476558811297116</v>
      </c>
      <c r="G35" s="4"/>
      <c r="H35" s="4">
        <f>SUM(OSRRefH16x_0)</f>
        <v>892362.06000000017</v>
      </c>
      <c r="I35" s="4"/>
      <c r="J35" s="12">
        <f t="shared" ref="J35:J48" si="13">IF(H$12=0,0,H35/H$12)</f>
        <v>0.72780020392321543</v>
      </c>
      <c r="K35" s="4"/>
      <c r="L35" s="4">
        <f t="shared" ref="L35:L48" si="14">+D35-H35</f>
        <v>-89910.580000000191</v>
      </c>
      <c r="M35" s="4"/>
      <c r="N35" s="12">
        <f t="shared" ref="N35:N48" si="15">IF(H35=0,0,L35/H35)</f>
        <v>-0.10075571792014575</v>
      </c>
      <c r="O35" s="10"/>
      <c r="P35" s="4">
        <f>SUM(OSRRefP16x_0)</f>
        <v>847153.22999999986</v>
      </c>
      <c r="Q35" s="4"/>
      <c r="R35" s="12">
        <f t="shared" ref="R35:R48" si="16">IF(P$12=0,0,P35/P$12)</f>
        <v>0.79041306456984395</v>
      </c>
      <c r="S35" s="4"/>
      <c r="T35" s="4">
        <f>SUM(OSRRefT16x_0)</f>
        <v>923179.3400000002</v>
      </c>
      <c r="U35" s="4"/>
      <c r="V35" s="12">
        <f t="shared" ref="V35:V48" si="17">IF(T$12=0,0,T35/T$12)</f>
        <v>0.72454689533811467</v>
      </c>
      <c r="W35" s="4"/>
      <c r="X35" s="4">
        <f t="shared" ref="X35:X48" si="18">+P35-T35</f>
        <v>-76026.110000000335</v>
      </c>
      <c r="Y35" s="4"/>
      <c r="Z35" s="12">
        <f t="shared" ref="Z35:Z48" si="19">IF(T35=0,0,X35/T35)</f>
        <v>-8.2352482021532586E-2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422783.67</v>
      </c>
      <c r="E36" s="2"/>
      <c r="F36" s="19">
        <f t="shared" si="12"/>
        <v>0.41873424189099923</v>
      </c>
      <c r="G36" s="2"/>
      <c r="H36" s="2"/>
      <c r="I36" s="2"/>
      <c r="J36" s="19">
        <f t="shared" si="13"/>
        <v>0</v>
      </c>
      <c r="K36" s="2"/>
      <c r="L36" s="2">
        <f t="shared" si="14"/>
        <v>422783.67</v>
      </c>
      <c r="M36" s="2"/>
      <c r="N36" s="19">
        <f t="shared" si="15"/>
        <v>0</v>
      </c>
      <c r="O36" s="11"/>
      <c r="P36" s="2">
        <v>687001.71</v>
      </c>
      <c r="Q36" s="2"/>
      <c r="R36" s="19">
        <f t="shared" si="16"/>
        <v>0.6409880854326947</v>
      </c>
      <c r="S36" s="2"/>
      <c r="T36" s="2"/>
      <c r="U36" s="2"/>
      <c r="V36" s="19">
        <f t="shared" si="17"/>
        <v>0</v>
      </c>
      <c r="W36" s="2"/>
      <c r="X36" s="2">
        <f t="shared" si="18"/>
        <v>687001.71</v>
      </c>
      <c r="Y36" s="2"/>
      <c r="Z36" s="19">
        <f t="shared" si="19"/>
        <v>0</v>
      </c>
    </row>
    <row r="37" spans="1:26" s="24" customFormat="1" hidden="1" outlineLevel="1" x14ac:dyDescent="0.3">
      <c r="A37" s="44"/>
      <c r="B37" s="11" t="str">
        <f>CONCATENATE("          ", "5001", " - ", "PURCHASES @ COST-NEW TEXT")</f>
        <v xml:space="preserve">          5001 - PURCHASES @ COST-NEW TEXT</v>
      </c>
      <c r="C37" s="11"/>
      <c r="D37" s="2">
        <v>0</v>
      </c>
      <c r="E37" s="2"/>
      <c r="F37" s="19">
        <f t="shared" si="12"/>
        <v>0</v>
      </c>
      <c r="G37" s="2"/>
      <c r="H37" s="2">
        <v>538222.14</v>
      </c>
      <c r="I37" s="2"/>
      <c r="J37" s="19">
        <f t="shared" si="13"/>
        <v>0.43896776970548179</v>
      </c>
      <c r="K37" s="2"/>
      <c r="L37" s="2">
        <f t="shared" si="14"/>
        <v>-538222.14</v>
      </c>
      <c r="M37" s="2"/>
      <c r="N37" s="19">
        <f t="shared" si="15"/>
        <v>-1</v>
      </c>
      <c r="O37" s="11"/>
      <c r="P37" s="2">
        <v>0</v>
      </c>
      <c r="Q37" s="2"/>
      <c r="R37" s="19">
        <f t="shared" si="16"/>
        <v>0</v>
      </c>
      <c r="S37" s="2"/>
      <c r="T37" s="2">
        <v>691332.77</v>
      </c>
      <c r="U37" s="2"/>
      <c r="V37" s="19">
        <f t="shared" si="17"/>
        <v>0.54258472914807521</v>
      </c>
      <c r="W37" s="2"/>
      <c r="X37" s="2">
        <f t="shared" si="18"/>
        <v>-691332.77</v>
      </c>
      <c r="Y37" s="2"/>
      <c r="Z37" s="19">
        <f t="shared" si="19"/>
        <v>-1</v>
      </c>
    </row>
    <row r="38" spans="1:26" s="24" customFormat="1" hidden="1" outlineLevel="1" x14ac:dyDescent="0.3">
      <c r="A38" s="44"/>
      <c r="B38" s="11" t="str">
        <f>CONCATENATE("          ", "5002", " - ", "PURCHASES @ COST-USED TEXT")</f>
        <v xml:space="preserve">          5002 - PURCHASES @ COST-USED TEXT</v>
      </c>
      <c r="C38" s="11"/>
      <c r="D38" s="2">
        <v>0</v>
      </c>
      <c r="E38" s="2"/>
      <c r="F38" s="19">
        <f t="shared" si="12"/>
        <v>0</v>
      </c>
      <c r="G38" s="2"/>
      <c r="H38" s="2">
        <v>128042.67</v>
      </c>
      <c r="I38" s="2"/>
      <c r="J38" s="19">
        <f t="shared" si="13"/>
        <v>0.10443012484962994</v>
      </c>
      <c r="K38" s="2"/>
      <c r="L38" s="2">
        <f t="shared" si="14"/>
        <v>-128042.67</v>
      </c>
      <c r="M38" s="2"/>
      <c r="N38" s="19">
        <f t="shared" si="15"/>
        <v>-1</v>
      </c>
      <c r="O38" s="11"/>
      <c r="P38" s="2">
        <v>0</v>
      </c>
      <c r="Q38" s="2"/>
      <c r="R38" s="19">
        <f t="shared" si="16"/>
        <v>0</v>
      </c>
      <c r="S38" s="2"/>
      <c r="T38" s="2">
        <v>188367.52</v>
      </c>
      <c r="U38" s="2"/>
      <c r="V38" s="19">
        <f t="shared" si="17"/>
        <v>0.14783812406215696</v>
      </c>
      <c r="W38" s="2"/>
      <c r="X38" s="2">
        <f t="shared" si="18"/>
        <v>-188367.52</v>
      </c>
      <c r="Y38" s="2"/>
      <c r="Z38" s="19">
        <f t="shared" si="19"/>
        <v>-1</v>
      </c>
    </row>
    <row r="39" spans="1:26" s="24" customFormat="1" hidden="1" outlineLevel="1" x14ac:dyDescent="0.3">
      <c r="A39" s="44"/>
      <c r="B39" s="11" t="str">
        <f>CONCATENATE("          ", "5003", " - ", "PURCHASES @ COST-RENTAL TEXT")</f>
        <v xml:space="preserve">          5003 - PURCHASES @ COST-RENTAL TEXT</v>
      </c>
      <c r="C39" s="11"/>
      <c r="D39" s="2"/>
      <c r="E39" s="2"/>
      <c r="F39" s="19">
        <f t="shared" si="12"/>
        <v>0</v>
      </c>
      <c r="G39" s="2"/>
      <c r="H39" s="2">
        <v>58.8</v>
      </c>
      <c r="I39" s="2"/>
      <c r="J39" s="19">
        <f t="shared" si="13"/>
        <v>4.795660181998891E-5</v>
      </c>
      <c r="K39" s="2"/>
      <c r="L39" s="2">
        <f t="shared" si="14"/>
        <v>-58.8</v>
      </c>
      <c r="M39" s="2"/>
      <c r="N39" s="19">
        <f t="shared" si="15"/>
        <v>-1</v>
      </c>
      <c r="O39" s="11"/>
      <c r="P39" s="2"/>
      <c r="Q39" s="2"/>
      <c r="R39" s="19">
        <f t="shared" si="16"/>
        <v>0</v>
      </c>
      <c r="S39" s="2"/>
      <c r="T39" s="2">
        <v>-11867.84</v>
      </c>
      <c r="U39" s="2"/>
      <c r="V39" s="19">
        <f t="shared" si="17"/>
        <v>-9.3143404036419297E-3</v>
      </c>
      <c r="W39" s="2"/>
      <c r="X39" s="2">
        <f t="shared" si="18"/>
        <v>11867.84</v>
      </c>
      <c r="Y39" s="2"/>
      <c r="Z39" s="19">
        <f t="shared" si="19"/>
        <v>-1</v>
      </c>
    </row>
    <row r="40" spans="1:26" s="24" customFormat="1" hidden="1" outlineLevel="1" x14ac:dyDescent="0.3">
      <c r="A40" s="44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0</v>
      </c>
      <c r="E40" s="2"/>
      <c r="F40" s="19">
        <f t="shared" si="12"/>
        <v>0</v>
      </c>
      <c r="G40" s="2"/>
      <c r="H40" s="2">
        <v>117504.49</v>
      </c>
      <c r="I40" s="2"/>
      <c r="J40" s="19">
        <f t="shared" si="13"/>
        <v>9.5835306785559002E-2</v>
      </c>
      <c r="K40" s="2"/>
      <c r="L40" s="2">
        <f t="shared" si="14"/>
        <v>-117504.49</v>
      </c>
      <c r="M40" s="2"/>
      <c r="N40" s="19">
        <f t="shared" si="15"/>
        <v>-1</v>
      </c>
      <c r="O40" s="11"/>
      <c r="P40" s="2">
        <v>0</v>
      </c>
      <c r="Q40" s="2"/>
      <c r="R40" s="19">
        <f t="shared" si="16"/>
        <v>0</v>
      </c>
      <c r="S40" s="2"/>
      <c r="T40" s="2">
        <v>122429.97</v>
      </c>
      <c r="U40" s="2"/>
      <c r="V40" s="19">
        <f t="shared" si="17"/>
        <v>9.6087781448660356E-2</v>
      </c>
      <c r="W40" s="2"/>
      <c r="X40" s="2">
        <f t="shared" si="18"/>
        <v>-122429.97</v>
      </c>
      <c r="Y40" s="2"/>
      <c r="Z40" s="19">
        <f t="shared" si="19"/>
        <v>-1</v>
      </c>
    </row>
    <row r="41" spans="1:26" s="24" customFormat="1" hidden="1" outlineLevel="1" x14ac:dyDescent="0.3">
      <c r="A41" s="44"/>
      <c r="B41" s="11" t="str">
        <f>CONCATENATE("          ", "5013", " - ", "PURCHASES @ COST-TRADE BOOKS")</f>
        <v xml:space="preserve">          5013 - PURCHASES @ COST-TRADE BOOKS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108.54</v>
      </c>
      <c r="U41" s="2"/>
      <c r="V41" s="19">
        <f t="shared" si="17"/>
        <v>8.5186395115816781E-5</v>
      </c>
      <c r="W41" s="2"/>
      <c r="X41" s="2">
        <f t="shared" si="18"/>
        <v>-108.54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"5014", " - ", "PURCHASES @ COST-REMAINDERS")</f>
        <v xml:space="preserve">          5014 - PURCHASES @ COST-REMAINDERS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-12.51</v>
      </c>
      <c r="U42" s="2"/>
      <c r="V42" s="19">
        <f t="shared" si="17"/>
        <v>-9.8183324387218345E-6</v>
      </c>
      <c r="W42" s="2"/>
      <c r="X42" s="2">
        <f t="shared" si="18"/>
        <v>12.51</v>
      </c>
      <c r="Y42" s="2"/>
      <c r="Z42" s="19">
        <f t="shared" si="19"/>
        <v>-1</v>
      </c>
    </row>
    <row r="43" spans="1:26" s="24" customFormat="1" hidden="1" outlineLevel="1" x14ac:dyDescent="0.3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-223271.06</v>
      </c>
      <c r="E43" s="2"/>
      <c r="F43" s="19">
        <f t="shared" si="12"/>
        <v>-0.2211325665565555</v>
      </c>
      <c r="G43" s="2"/>
      <c r="H43" s="2">
        <v>-478701.26</v>
      </c>
      <c r="I43" s="2"/>
      <c r="J43" s="19">
        <f t="shared" si="13"/>
        <v>-0.39042322647188754</v>
      </c>
      <c r="K43" s="2"/>
      <c r="L43" s="2">
        <f t="shared" si="14"/>
        <v>255430.2</v>
      </c>
      <c r="M43" s="2"/>
      <c r="N43" s="19">
        <f t="shared" si="15"/>
        <v>-0.53358998887949449</v>
      </c>
      <c r="O43" s="11"/>
      <c r="P43" s="2">
        <v>-487662.78</v>
      </c>
      <c r="Q43" s="2"/>
      <c r="R43" s="19">
        <f t="shared" si="16"/>
        <v>-0.45500036919702197</v>
      </c>
      <c r="S43" s="2"/>
      <c r="T43" s="2">
        <v>-681352.94</v>
      </c>
      <c r="U43" s="2"/>
      <c r="V43" s="19">
        <f t="shared" si="17"/>
        <v>-0.53475217210395609</v>
      </c>
      <c r="W43" s="2"/>
      <c r="X43" s="2">
        <f t="shared" si="18"/>
        <v>193690.15999999992</v>
      </c>
      <c r="Y43" s="2"/>
      <c r="Z43" s="19">
        <f t="shared" si="19"/>
        <v>-0.284272876257054</v>
      </c>
    </row>
    <row r="44" spans="1:26" s="24" customFormat="1" hidden="1" outlineLevel="1" x14ac:dyDescent="0.3">
      <c r="A44" s="44"/>
      <c r="B44" s="11" t="str">
        <f>CONCATENATE("          ", "5300", " - ", "COG$ OFFSET")</f>
        <v xml:space="preserve">          5300 - COG$ OFFSET</v>
      </c>
      <c r="C44" s="11"/>
      <c r="D44" s="2">
        <v>599500.85</v>
      </c>
      <c r="E44" s="2"/>
      <c r="F44" s="19">
        <f t="shared" si="12"/>
        <v>0.59375882218383602</v>
      </c>
      <c r="G44" s="2"/>
      <c r="H44" s="2">
        <v>581368</v>
      </c>
      <c r="I44" s="2"/>
      <c r="J44" s="19">
        <f t="shared" si="13"/>
        <v>0.47415703549121285</v>
      </c>
      <c r="K44" s="2"/>
      <c r="L44" s="2">
        <f t="shared" si="14"/>
        <v>18132.849999999977</v>
      </c>
      <c r="M44" s="2"/>
      <c r="N44" s="19">
        <f t="shared" si="15"/>
        <v>3.1189969176150006E-2</v>
      </c>
      <c r="O44" s="11"/>
      <c r="P44" s="2">
        <v>642192.56999999995</v>
      </c>
      <c r="Q44" s="2"/>
      <c r="R44" s="19">
        <f t="shared" si="16"/>
        <v>0.59918014748959181</v>
      </c>
      <c r="S44" s="2"/>
      <c r="T44" s="2">
        <v>607456</v>
      </c>
      <c r="U44" s="2"/>
      <c r="V44" s="19">
        <f t="shared" si="17"/>
        <v>0.47675499199809834</v>
      </c>
      <c r="W44" s="2"/>
      <c r="X44" s="2">
        <f t="shared" si="18"/>
        <v>34736.569999999949</v>
      </c>
      <c r="Y44" s="2"/>
      <c r="Z44" s="19">
        <f t="shared" si="19"/>
        <v>5.7183680793341324E-2</v>
      </c>
    </row>
    <row r="45" spans="1:26" s="24" customFormat="1" hidden="1" outlineLevel="1" x14ac:dyDescent="0.3">
      <c r="A45" s="44"/>
      <c r="B45" s="11" t="str">
        <f>CONCATENATE("          ", "5500", " - ", "FREIGHT-IN")</f>
        <v xml:space="preserve">          5500 - FREIGHT-IN</v>
      </c>
      <c r="C45" s="11"/>
      <c r="D45" s="2">
        <v>3438.02</v>
      </c>
      <c r="E45" s="2"/>
      <c r="F45" s="19">
        <f t="shared" si="12"/>
        <v>3.4050905946913538E-3</v>
      </c>
      <c r="G45" s="2"/>
      <c r="H45" s="2">
        <v>0</v>
      </c>
      <c r="I45" s="2"/>
      <c r="J45" s="19">
        <f t="shared" si="13"/>
        <v>0</v>
      </c>
      <c r="K45" s="2"/>
      <c r="L45" s="2">
        <f t="shared" si="14"/>
        <v>3438.02</v>
      </c>
      <c r="M45" s="2"/>
      <c r="N45" s="19">
        <f t="shared" si="15"/>
        <v>0</v>
      </c>
      <c r="O45" s="11"/>
      <c r="P45" s="2">
        <v>5621.73</v>
      </c>
      <c r="Q45" s="2"/>
      <c r="R45" s="19">
        <f t="shared" si="16"/>
        <v>5.2452008445794734E-3</v>
      </c>
      <c r="S45" s="2"/>
      <c r="T45" s="2">
        <v>0</v>
      </c>
      <c r="U45" s="2"/>
      <c r="V45" s="19">
        <f t="shared" si="17"/>
        <v>0</v>
      </c>
      <c r="W45" s="2"/>
      <c r="X45" s="2">
        <f t="shared" si="18"/>
        <v>5621.73</v>
      </c>
      <c r="Y45" s="2"/>
      <c r="Z45" s="19">
        <f t="shared" si="19"/>
        <v>0</v>
      </c>
    </row>
    <row r="46" spans="1:26" s="24" customFormat="1" hidden="1" outlineLevel="1" x14ac:dyDescent="0.3">
      <c r="A46" s="44"/>
      <c r="B46" s="11" t="str">
        <f>CONCATENATE("          ", "5501", " - ", "FREIGHT-IN-NEW TEXT")</f>
        <v xml:space="preserve">          5501 - FREIGHT-IN-NEW TEXT</v>
      </c>
      <c r="C46" s="11"/>
      <c r="D46" s="2">
        <v>0</v>
      </c>
      <c r="E46" s="2"/>
      <c r="F46" s="19">
        <f t="shared" si="12"/>
        <v>0</v>
      </c>
      <c r="G46" s="2"/>
      <c r="H46" s="2">
        <v>4680.5600000000004</v>
      </c>
      <c r="I46" s="2"/>
      <c r="J46" s="19">
        <f t="shared" si="13"/>
        <v>3.8174107519484239E-3</v>
      </c>
      <c r="K46" s="2"/>
      <c r="L46" s="2">
        <f t="shared" si="14"/>
        <v>-4680.5600000000004</v>
      </c>
      <c r="M46" s="2"/>
      <c r="N46" s="19">
        <f t="shared" si="15"/>
        <v>-1</v>
      </c>
      <c r="O46" s="11"/>
      <c r="P46" s="2">
        <v>0</v>
      </c>
      <c r="Q46" s="2"/>
      <c r="R46" s="19">
        <f t="shared" si="16"/>
        <v>0</v>
      </c>
      <c r="S46" s="2"/>
      <c r="T46" s="2">
        <v>5483.28</v>
      </c>
      <c r="U46" s="2"/>
      <c r="V46" s="19">
        <f t="shared" si="17"/>
        <v>4.3034904791842254E-3</v>
      </c>
      <c r="W46" s="2"/>
      <c r="X46" s="2">
        <f t="shared" si="18"/>
        <v>-5483.28</v>
      </c>
      <c r="Y46" s="2"/>
      <c r="Z46" s="19">
        <f t="shared" si="19"/>
        <v>-1</v>
      </c>
    </row>
    <row r="47" spans="1:26" s="24" customFormat="1" hidden="1" outlineLevel="1" x14ac:dyDescent="0.3">
      <c r="A47" s="44"/>
      <c r="B47" s="11" t="str">
        <f>CONCATENATE("          ", "5502", " - ", "FREIGHT-IN-USED TEXT")</f>
        <v xml:space="preserve">          5502 - FREIGHT-IN-USED TEXT</v>
      </c>
      <c r="C47" s="11"/>
      <c r="D47" s="2">
        <v>0</v>
      </c>
      <c r="E47" s="2"/>
      <c r="F47" s="19">
        <f t="shared" si="12"/>
        <v>0</v>
      </c>
      <c r="G47" s="2"/>
      <c r="H47" s="2">
        <v>1186.6600000000001</v>
      </c>
      <c r="I47" s="2"/>
      <c r="J47" s="19">
        <f t="shared" si="13"/>
        <v>9.6782620945081712E-4</v>
      </c>
      <c r="K47" s="2"/>
      <c r="L47" s="2">
        <f t="shared" si="14"/>
        <v>-1186.6600000000001</v>
      </c>
      <c r="M47" s="2"/>
      <c r="N47" s="19">
        <f t="shared" si="15"/>
        <v>-1</v>
      </c>
      <c r="O47" s="11"/>
      <c r="P47" s="2">
        <v>0</v>
      </c>
      <c r="Q47" s="2"/>
      <c r="R47" s="19">
        <f t="shared" si="16"/>
        <v>0</v>
      </c>
      <c r="S47" s="2"/>
      <c r="T47" s="2">
        <v>1234.55</v>
      </c>
      <c r="U47" s="2"/>
      <c r="V47" s="19">
        <f t="shared" si="17"/>
        <v>9.6892264686043478E-4</v>
      </c>
      <c r="W47" s="2"/>
      <c r="X47" s="2">
        <f t="shared" si="18"/>
        <v>-1234.55</v>
      </c>
      <c r="Y47" s="2"/>
      <c r="Z47" s="19">
        <f t="shared" si="19"/>
        <v>-1</v>
      </c>
    </row>
    <row r="48" spans="1:26" s="24" customFormat="1" hidden="1" outlineLevel="1" x14ac:dyDescent="0.3">
      <c r="A48" s="44"/>
      <c r="B48" s="11" t="str">
        <f>CONCATENATE("          ", "5518", " - ", "FREIGHT-IN-STUDY GUIDES")</f>
        <v xml:space="preserve">          5518 - FREIGHT-IN-STUDY GUIDES</v>
      </c>
      <c r="C48" s="11"/>
      <c r="D48" s="2"/>
      <c r="E48" s="2"/>
      <c r="F48" s="19">
        <f t="shared" si="12"/>
        <v>0</v>
      </c>
      <c r="G48" s="2"/>
      <c r="H48" s="2"/>
      <c r="I48" s="2"/>
      <c r="J48" s="19">
        <f t="shared" si="13"/>
        <v>0</v>
      </c>
      <c r="K48" s="2"/>
      <c r="L48" s="2">
        <f t="shared" si="14"/>
        <v>0</v>
      </c>
      <c r="M48" s="2"/>
      <c r="N48" s="19">
        <f t="shared" si="15"/>
        <v>0</v>
      </c>
      <c r="O48" s="11"/>
      <c r="P48" s="2">
        <v>0</v>
      </c>
      <c r="Q48" s="2"/>
      <c r="R48" s="19">
        <f t="shared" si="16"/>
        <v>0</v>
      </c>
      <c r="S48" s="2"/>
      <c r="T48" s="2"/>
      <c r="U48" s="2"/>
      <c r="V48" s="19">
        <f t="shared" si="17"/>
        <v>0</v>
      </c>
      <c r="W48" s="2"/>
      <c r="X48" s="2">
        <f t="shared" si="18"/>
        <v>0</v>
      </c>
      <c r="Y48" s="2"/>
      <c r="Z48" s="19">
        <f t="shared" si="19"/>
        <v>0</v>
      </c>
    </row>
    <row r="49" spans="1:26" x14ac:dyDescent="0.3">
      <c r="A49" s="9"/>
      <c r="B49" s="10"/>
      <c r="C49" s="10"/>
      <c r="D49" s="3"/>
      <c r="E49" s="3"/>
      <c r="F49" s="6"/>
      <c r="G49" s="3"/>
      <c r="H49" s="3"/>
      <c r="I49" s="3"/>
      <c r="J49" s="6"/>
      <c r="K49" s="3"/>
      <c r="L49" s="3"/>
      <c r="M49" s="3"/>
      <c r="N49" s="6"/>
      <c r="O49" s="10"/>
      <c r="P49" s="3"/>
      <c r="Q49" s="3"/>
      <c r="R49" s="6"/>
      <c r="S49" s="3"/>
      <c r="T49" s="3"/>
      <c r="U49" s="3"/>
      <c r="V49" s="6"/>
      <c r="W49" s="3"/>
      <c r="X49" s="3"/>
      <c r="Y49" s="3"/>
      <c r="Z49" s="6"/>
    </row>
    <row r="50" spans="1:26" s="23" customFormat="1" x14ac:dyDescent="0.3">
      <c r="A50" s="10"/>
      <c r="B50" s="25" t="s">
        <v>107</v>
      </c>
      <c r="C50" s="25"/>
      <c r="D50" s="20">
        <f>D12-D35</f>
        <v>207219.16000000003</v>
      </c>
      <c r="E50" s="13"/>
      <c r="F50" s="22">
        <f>IF(D$12=0,0,D50/D$12)</f>
        <v>0.20523441188702884</v>
      </c>
      <c r="G50" s="13"/>
      <c r="H50" s="20">
        <f>H12-H35</f>
        <v>333746.50000000012</v>
      </c>
      <c r="I50" s="13"/>
      <c r="J50" s="22">
        <f>IF(H$12=0,0,H50/H$12)</f>
        <v>0.27219979607678463</v>
      </c>
      <c r="K50" s="15"/>
      <c r="L50" s="20">
        <f>+D50-H50</f>
        <v>-126527.34000000008</v>
      </c>
      <c r="M50" s="15"/>
      <c r="N50" s="22">
        <f>IF(H50=0,0,L50/H50)</f>
        <v>-0.37911211053898702</v>
      </c>
      <c r="O50" s="26"/>
      <c r="P50" s="20">
        <f>P12-P35</f>
        <v>224632.2300000001</v>
      </c>
      <c r="Q50" s="13"/>
      <c r="R50" s="22">
        <f>IF(P$12=0,0,P50/P$12)</f>
        <v>0.20958693543015605</v>
      </c>
      <c r="S50" s="13"/>
      <c r="T50" s="20">
        <f>T12-T35</f>
        <v>350967.77999999968</v>
      </c>
      <c r="U50" s="13"/>
      <c r="V50" s="22">
        <f>IF(T$12=0,0,T50/T$12)</f>
        <v>0.27545310466188527</v>
      </c>
      <c r="W50" s="15"/>
      <c r="X50" s="20">
        <f>+P50-T50</f>
        <v>-126335.54999999958</v>
      </c>
      <c r="Y50" s="15"/>
      <c r="Z50" s="22">
        <f>IF(T50=0,0,X50/T50)</f>
        <v>-0.35996338467308792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6" t="s">
        <v>294</v>
      </c>
      <c r="C52" s="10"/>
      <c r="D52" s="21">
        <f>SUM(OSRRefD22x_0)</f>
        <v>53160.810000000005</v>
      </c>
      <c r="E52" s="21"/>
      <c r="F52" s="32">
        <f t="shared" ref="F52:F62" si="20">IF(D$12=0,0,D52/D$12)</f>
        <v>5.2651634992575407E-2</v>
      </c>
      <c r="G52" s="21"/>
      <c r="H52" s="21">
        <f>SUM(OSRRefH22x_0)</f>
        <v>48390.540000000008</v>
      </c>
      <c r="I52" s="21"/>
      <c r="J52" s="32">
        <f t="shared" ref="J52:J62" si="21">IF(H$12=0,0,H52/H$12)</f>
        <v>3.9466766303303515E-2</v>
      </c>
      <c r="K52" s="4"/>
      <c r="L52" s="21">
        <f t="shared" ref="L52:L62" si="22">+D52-H52</f>
        <v>4770.2699999999968</v>
      </c>
      <c r="M52" s="4"/>
      <c r="N52" s="32">
        <f t="shared" ref="N52:N62" si="23">IF(H52=0,0,L52/H52)</f>
        <v>9.8578565149303896E-2</v>
      </c>
      <c r="O52" s="10"/>
      <c r="P52" s="21">
        <f>SUM(OSRRefP22x_0)</f>
        <v>102301.55000000002</v>
      </c>
      <c r="Q52" s="21"/>
      <c r="R52" s="32">
        <f t="shared" ref="R52:R62" si="24">IF(P$12=0,0,P52/P$12)</f>
        <v>9.5449652769127896E-2</v>
      </c>
      <c r="S52" s="21"/>
      <c r="T52" s="21">
        <f>SUM(OSRRefT22x_0)</f>
        <v>88534.650000000023</v>
      </c>
      <c r="U52" s="21"/>
      <c r="V52" s="32">
        <f t="shared" ref="V52:V62" si="25">IF(T$12=0,0,T52/T$12)</f>
        <v>6.9485421746273715E-2</v>
      </c>
      <c r="W52" s="4"/>
      <c r="X52" s="21">
        <f t="shared" ref="X52:X62" si="26">+P52-T52</f>
        <v>13766.899999999994</v>
      </c>
      <c r="Y52" s="4"/>
      <c r="Z52" s="32">
        <f t="shared" ref="Z52:Z62" si="27">IF(T52=0,0,X52/T52)</f>
        <v>0.15549731093984095</v>
      </c>
    </row>
    <row r="53" spans="1:26" s="28" customFormat="1" outlineLevel="1" collapsed="1" x14ac:dyDescent="0.3">
      <c r="A53" s="29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12699.169999999998</v>
      </c>
      <c r="E53" s="1"/>
      <c r="F53" s="5">
        <f t="shared" si="20"/>
        <v>1.2577537165981175E-2</v>
      </c>
      <c r="G53" s="1"/>
      <c r="H53" s="1">
        <f>SUM(OSRRefH22_0x_0)</f>
        <v>10659.73</v>
      </c>
      <c r="I53" s="1"/>
      <c r="J53" s="5">
        <f t="shared" si="21"/>
        <v>8.6939528421528973E-3</v>
      </c>
      <c r="K53" s="1"/>
      <c r="L53" s="1">
        <f t="shared" si="22"/>
        <v>2039.4399999999987</v>
      </c>
      <c r="M53" s="1"/>
      <c r="N53" s="5">
        <f t="shared" si="23"/>
        <v>0.19132191903547263</v>
      </c>
      <c r="O53" s="14"/>
      <c r="P53" s="1">
        <f>SUM(OSRRefP22_0x_0)</f>
        <v>24502.239999999998</v>
      </c>
      <c r="Q53" s="1"/>
      <c r="R53" s="5">
        <f t="shared" si="24"/>
        <v>2.2861142378251705E-2</v>
      </c>
      <c r="S53" s="1"/>
      <c r="T53" s="1">
        <f>SUM(OSRRefT22_0x_0)</f>
        <v>21814.160000000003</v>
      </c>
      <c r="U53" s="1"/>
      <c r="V53" s="5">
        <f t="shared" si="25"/>
        <v>1.7120597502115774E-2</v>
      </c>
      <c r="W53" s="1"/>
      <c r="X53" s="1">
        <f t="shared" si="26"/>
        <v>2688.0799999999945</v>
      </c>
      <c r="Y53" s="1"/>
      <c r="Z53" s="5">
        <f t="shared" si="27"/>
        <v>0.12322638139630378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7">
        <v>2560.6999999999998</v>
      </c>
      <c r="E54" s="2"/>
      <c r="F54" s="8">
        <f t="shared" si="20"/>
        <v>2.536173578346301E-3</v>
      </c>
      <c r="G54" s="2"/>
      <c r="H54" s="7">
        <v>2291.5500000000002</v>
      </c>
      <c r="I54" s="2"/>
      <c r="J54" s="8">
        <f t="shared" si="21"/>
        <v>1.8689617500101292E-3</v>
      </c>
      <c r="K54" s="2"/>
      <c r="L54" s="7">
        <f t="shared" si="22"/>
        <v>269.14999999999964</v>
      </c>
      <c r="M54" s="2"/>
      <c r="N54" s="8">
        <f t="shared" si="23"/>
        <v>0.11745325216556463</v>
      </c>
      <c r="O54" s="11"/>
      <c r="P54" s="7">
        <v>4664.3100000000004</v>
      </c>
      <c r="Q54" s="2"/>
      <c r="R54" s="8">
        <f t="shared" si="24"/>
        <v>4.3519063973866566E-3</v>
      </c>
      <c r="S54" s="2"/>
      <c r="T54" s="7">
        <v>4094</v>
      </c>
      <c r="U54" s="2"/>
      <c r="V54" s="8">
        <f t="shared" si="25"/>
        <v>3.2131297365409423E-3</v>
      </c>
      <c r="W54" s="2"/>
      <c r="X54" s="7">
        <f t="shared" si="26"/>
        <v>570.3100000000004</v>
      </c>
      <c r="Y54" s="2"/>
      <c r="Z54" s="8">
        <f t="shared" si="27"/>
        <v>0.13930385930630201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471.05</v>
      </c>
      <c r="E55" s="2"/>
      <c r="F55" s="8">
        <f t="shared" si="20"/>
        <v>4.6653827628383848E-4</v>
      </c>
      <c r="G55" s="2"/>
      <c r="H55" s="7">
        <v>190.93</v>
      </c>
      <c r="I55" s="2"/>
      <c r="J55" s="8">
        <f t="shared" si="21"/>
        <v>1.557203058756885E-4</v>
      </c>
      <c r="K55" s="2"/>
      <c r="L55" s="7">
        <f t="shared" si="22"/>
        <v>280.12</v>
      </c>
      <c r="M55" s="2"/>
      <c r="N55" s="8">
        <f t="shared" si="23"/>
        <v>1.4671345519300267</v>
      </c>
      <c r="O55" s="11"/>
      <c r="P55" s="7">
        <v>853.56</v>
      </c>
      <c r="Q55" s="2"/>
      <c r="R55" s="8">
        <f t="shared" si="24"/>
        <v>7.9639072543492048E-4</v>
      </c>
      <c r="S55" s="2"/>
      <c r="T55" s="7">
        <v>338.35</v>
      </c>
      <c r="U55" s="2"/>
      <c r="V55" s="8">
        <f t="shared" si="25"/>
        <v>2.6555018230547825E-4</v>
      </c>
      <c r="W55" s="2"/>
      <c r="X55" s="7">
        <f t="shared" si="26"/>
        <v>515.20999999999992</v>
      </c>
      <c r="Y55" s="2"/>
      <c r="Z55" s="8">
        <f t="shared" si="27"/>
        <v>1.5227131668390717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7">
        <v>4593.8599999999997</v>
      </c>
      <c r="E56" s="2"/>
      <c r="F56" s="8">
        <f t="shared" si="20"/>
        <v>4.5498599424461817E-3</v>
      </c>
      <c r="G56" s="2"/>
      <c r="H56" s="7">
        <v>4114</v>
      </c>
      <c r="I56" s="2"/>
      <c r="J56" s="8">
        <f t="shared" si="21"/>
        <v>3.3553309504665715E-3</v>
      </c>
      <c r="K56" s="2"/>
      <c r="L56" s="7">
        <f t="shared" si="22"/>
        <v>479.85999999999967</v>
      </c>
      <c r="M56" s="2"/>
      <c r="N56" s="8">
        <f t="shared" si="23"/>
        <v>0.1166407389402041</v>
      </c>
      <c r="O56" s="11"/>
      <c r="P56" s="7">
        <v>9187.7199999999993</v>
      </c>
      <c r="Q56" s="2"/>
      <c r="R56" s="8">
        <f t="shared" si="24"/>
        <v>8.5723499178650912E-3</v>
      </c>
      <c r="S56" s="2"/>
      <c r="T56" s="7">
        <v>8362.2099999999991</v>
      </c>
      <c r="U56" s="2"/>
      <c r="V56" s="8">
        <f t="shared" si="25"/>
        <v>6.5629862272105592E-3</v>
      </c>
      <c r="W56" s="2"/>
      <c r="X56" s="7">
        <f t="shared" si="26"/>
        <v>825.51000000000022</v>
      </c>
      <c r="Y56" s="2"/>
      <c r="Z56" s="8">
        <f t="shared" si="27"/>
        <v>9.8719118510537329E-2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93.92</v>
      </c>
      <c r="E57" s="2"/>
      <c r="F57" s="8">
        <f t="shared" si="20"/>
        <v>9.3020432880964039E-5</v>
      </c>
      <c r="G57" s="2"/>
      <c r="H57" s="7">
        <v>71.989999999999995</v>
      </c>
      <c r="I57" s="2"/>
      <c r="J57" s="8">
        <f t="shared" si="21"/>
        <v>5.871421369083336E-5</v>
      </c>
      <c r="K57" s="2"/>
      <c r="L57" s="7">
        <f t="shared" si="22"/>
        <v>21.930000000000007</v>
      </c>
      <c r="M57" s="2"/>
      <c r="N57" s="8">
        <f t="shared" si="23"/>
        <v>0.30462564245034046</v>
      </c>
      <c r="O57" s="11"/>
      <c r="P57" s="7">
        <v>168.63</v>
      </c>
      <c r="Q57" s="2"/>
      <c r="R57" s="8">
        <f t="shared" si="24"/>
        <v>1.5733559214359933E-4</v>
      </c>
      <c r="S57" s="2"/>
      <c r="T57" s="7">
        <v>133.41999999999999</v>
      </c>
      <c r="U57" s="2"/>
      <c r="V57" s="8">
        <f t="shared" si="25"/>
        <v>1.0471318257188385E-4</v>
      </c>
      <c r="W57" s="2"/>
      <c r="X57" s="7">
        <f t="shared" si="26"/>
        <v>35.210000000000008</v>
      </c>
      <c r="Y57" s="2"/>
      <c r="Z57" s="8">
        <f t="shared" si="27"/>
        <v>0.26390346274921311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7">
        <v>1607.1</v>
      </c>
      <c r="E58" s="2"/>
      <c r="F58" s="8">
        <f t="shared" si="20"/>
        <v>1.5917071729450308E-3</v>
      </c>
      <c r="G58" s="2"/>
      <c r="H58" s="7">
        <v>1480.2</v>
      </c>
      <c r="I58" s="2"/>
      <c r="J58" s="8">
        <f t="shared" si="21"/>
        <v>1.2072340478562515E-3</v>
      </c>
      <c r="K58" s="2"/>
      <c r="L58" s="7">
        <f t="shared" si="22"/>
        <v>126.89999999999986</v>
      </c>
      <c r="M58" s="2"/>
      <c r="N58" s="8">
        <f t="shared" si="23"/>
        <v>8.5731657884069626E-2</v>
      </c>
      <c r="O58" s="11"/>
      <c r="P58" s="7">
        <v>3214.2</v>
      </c>
      <c r="Q58" s="2"/>
      <c r="R58" s="8">
        <f t="shared" si="24"/>
        <v>2.9989210713868052E-3</v>
      </c>
      <c r="S58" s="2"/>
      <c r="T58" s="7">
        <v>3700.52</v>
      </c>
      <c r="U58" s="2"/>
      <c r="V58" s="8">
        <f t="shared" si="25"/>
        <v>2.9043113953748137E-3</v>
      </c>
      <c r="W58" s="2"/>
      <c r="X58" s="7">
        <f t="shared" si="26"/>
        <v>-486.32000000000016</v>
      </c>
      <c r="Y58" s="2"/>
      <c r="Z58" s="8">
        <f t="shared" si="27"/>
        <v>-0.13141936808880919</v>
      </c>
    </row>
    <row r="59" spans="1:26" s="24" customFormat="1" hidden="1" outlineLevel="2" x14ac:dyDescent="0.3">
      <c r="A59" s="27"/>
      <c r="B59" s="11" t="str">
        <f>CONCATENATE("          ", "6117", " - ", "RETIREMENT STAFF HOURLY")</f>
        <v xml:space="preserve">          6117 - RETIREMENT STAFF HOURLY</v>
      </c>
      <c r="C59" s="11"/>
      <c r="D59" s="7">
        <v>532.32000000000005</v>
      </c>
      <c r="E59" s="2"/>
      <c r="F59" s="8">
        <f t="shared" si="20"/>
        <v>5.2722143133725273E-4</v>
      </c>
      <c r="G59" s="2"/>
      <c r="H59" s="7">
        <v>255.65</v>
      </c>
      <c r="I59" s="2"/>
      <c r="J59" s="8">
        <f t="shared" si="21"/>
        <v>2.0850519141632934E-4</v>
      </c>
      <c r="K59" s="2"/>
      <c r="L59" s="7">
        <f t="shared" si="22"/>
        <v>276.67000000000007</v>
      </c>
      <c r="M59" s="2"/>
      <c r="N59" s="8">
        <f t="shared" si="23"/>
        <v>1.0822217876002349</v>
      </c>
      <c r="O59" s="11"/>
      <c r="P59" s="7">
        <v>785.93</v>
      </c>
      <c r="Q59" s="2"/>
      <c r="R59" s="8">
        <f t="shared" si="24"/>
        <v>7.3329041056406944E-4</v>
      </c>
      <c r="S59" s="2"/>
      <c r="T59" s="7">
        <v>588.79</v>
      </c>
      <c r="U59" s="2"/>
      <c r="V59" s="8">
        <f t="shared" si="25"/>
        <v>4.6210519237370332E-4</v>
      </c>
      <c r="W59" s="2"/>
      <c r="X59" s="7">
        <f t="shared" si="26"/>
        <v>197.14</v>
      </c>
      <c r="Y59" s="2"/>
      <c r="Z59" s="8">
        <f t="shared" si="27"/>
        <v>0.33482226260636222</v>
      </c>
    </row>
    <row r="60" spans="1:26" s="24" customFormat="1" hidden="1" outlineLevel="2" x14ac:dyDescent="0.3">
      <c r="A60" s="27"/>
      <c r="B60" s="11" t="str">
        <f>CONCATENATE("          ", "6118", " - ", "VACATION")</f>
        <v xml:space="preserve">          6118 - VACATION</v>
      </c>
      <c r="C60" s="11"/>
      <c r="D60" s="7">
        <v>1307.55</v>
      </c>
      <c r="E60" s="2"/>
      <c r="F60" s="8">
        <f t="shared" si="20"/>
        <v>1.2950262671795627E-3</v>
      </c>
      <c r="G60" s="2"/>
      <c r="H60" s="7">
        <v>942.5</v>
      </c>
      <c r="I60" s="2"/>
      <c r="J60" s="8">
        <f t="shared" si="21"/>
        <v>7.6869212951257739E-4</v>
      </c>
      <c r="K60" s="2"/>
      <c r="L60" s="7">
        <f t="shared" si="22"/>
        <v>365.04999999999995</v>
      </c>
      <c r="M60" s="2"/>
      <c r="N60" s="8">
        <f t="shared" si="23"/>
        <v>0.38732095490716173</v>
      </c>
      <c r="O60" s="11"/>
      <c r="P60" s="7">
        <v>2664.89</v>
      </c>
      <c r="Q60" s="2"/>
      <c r="R60" s="8">
        <f t="shared" si="24"/>
        <v>2.486402455954198E-3</v>
      </c>
      <c r="S60" s="2"/>
      <c r="T60" s="7">
        <v>1910.31</v>
      </c>
      <c r="U60" s="2"/>
      <c r="V60" s="8">
        <f t="shared" si="25"/>
        <v>1.4992852630707199E-3</v>
      </c>
      <c r="W60" s="2"/>
      <c r="X60" s="7">
        <f t="shared" si="26"/>
        <v>754.57999999999993</v>
      </c>
      <c r="Y60" s="2"/>
      <c r="Z60" s="8">
        <f t="shared" si="27"/>
        <v>0.39500395223811841</v>
      </c>
    </row>
    <row r="61" spans="1:26" s="24" customFormat="1" hidden="1" outlineLevel="2" x14ac:dyDescent="0.3">
      <c r="A61" s="27"/>
      <c r="B61" s="11" t="str">
        <f>CONCATENATE("          ", "6119", " - ", "SICK LEAVE")</f>
        <v xml:space="preserve">          6119 - SICK LEAVE</v>
      </c>
      <c r="C61" s="11"/>
      <c r="D61" s="7">
        <v>1071.9000000000001</v>
      </c>
      <c r="E61" s="2"/>
      <c r="F61" s="8">
        <f t="shared" si="20"/>
        <v>1.0616333262894522E-3</v>
      </c>
      <c r="G61" s="2"/>
      <c r="H61" s="7">
        <v>944.6</v>
      </c>
      <c r="I61" s="2"/>
      <c r="J61" s="8">
        <f t="shared" si="21"/>
        <v>7.7040486529186272E-4</v>
      </c>
      <c r="K61" s="2"/>
      <c r="L61" s="7">
        <f t="shared" si="22"/>
        <v>127.30000000000007</v>
      </c>
      <c r="M61" s="2"/>
      <c r="N61" s="8">
        <f t="shared" si="23"/>
        <v>0.13476603853482963</v>
      </c>
      <c r="O61" s="11"/>
      <c r="P61" s="7">
        <v>2143.8000000000002</v>
      </c>
      <c r="Q61" s="2"/>
      <c r="R61" s="8">
        <f t="shared" si="24"/>
        <v>2.0002137368051254E-3</v>
      </c>
      <c r="S61" s="2"/>
      <c r="T61" s="7">
        <v>1889.2</v>
      </c>
      <c r="U61" s="2"/>
      <c r="V61" s="8">
        <f t="shared" si="25"/>
        <v>1.4827173176045795E-3</v>
      </c>
      <c r="W61" s="2"/>
      <c r="X61" s="7">
        <f t="shared" si="26"/>
        <v>254.60000000000014</v>
      </c>
      <c r="Y61" s="2"/>
      <c r="Z61" s="8">
        <f t="shared" si="27"/>
        <v>0.13476603853482963</v>
      </c>
    </row>
    <row r="62" spans="1:26" s="24" customFormat="1" hidden="1" outlineLevel="2" x14ac:dyDescent="0.3">
      <c r="A62" s="27"/>
      <c r="B62" s="11" t="str">
        <f>CONCATENATE("          ", "6156", " - ", "EMPLOYEE MEALS")</f>
        <v xml:space="preserve">          6156 - EMPLOYEE MEALS</v>
      </c>
      <c r="C62" s="11"/>
      <c r="D62" s="7">
        <v>460.77</v>
      </c>
      <c r="E62" s="2"/>
      <c r="F62" s="8">
        <f t="shared" si="20"/>
        <v>4.5635673827259154E-4</v>
      </c>
      <c r="G62" s="2"/>
      <c r="H62" s="7">
        <v>368.31</v>
      </c>
      <c r="I62" s="2"/>
      <c r="J62" s="8">
        <f t="shared" si="21"/>
        <v>3.0038938803265503E-4</v>
      </c>
      <c r="K62" s="2"/>
      <c r="L62" s="7">
        <f t="shared" si="22"/>
        <v>92.45999999999998</v>
      </c>
      <c r="M62" s="2"/>
      <c r="N62" s="8">
        <f t="shared" si="23"/>
        <v>0.25103852732752296</v>
      </c>
      <c r="O62" s="11"/>
      <c r="P62" s="7">
        <v>819.2</v>
      </c>
      <c r="Q62" s="2"/>
      <c r="R62" s="8">
        <f t="shared" si="24"/>
        <v>7.6433207071124106E-4</v>
      </c>
      <c r="S62" s="2"/>
      <c r="T62" s="7">
        <v>797.36</v>
      </c>
      <c r="U62" s="2"/>
      <c r="V62" s="8">
        <f t="shared" si="25"/>
        <v>6.2579900506308885E-4</v>
      </c>
      <c r="W62" s="2"/>
      <c r="X62" s="7">
        <f t="shared" si="26"/>
        <v>21.840000000000032</v>
      </c>
      <c r="Y62" s="2"/>
      <c r="Z62" s="8">
        <f t="shared" si="27"/>
        <v>2.7390388281328424E-2</v>
      </c>
    </row>
    <row r="63" spans="1:26" s="28" customFormat="1" outlineLevel="1" collapsed="1" x14ac:dyDescent="0.3">
      <c r="A63" s="29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37759.429999999993</v>
      </c>
      <c r="E63" s="1"/>
      <c r="F63" s="5">
        <f t="shared" ref="F63:F70" si="28">IF(D$12=0,0,D63/D$12)</f>
        <v>3.7397769633075589E-2</v>
      </c>
      <c r="G63" s="1"/>
      <c r="H63" s="1">
        <f>SUM(OSRRefH22_1x_0)</f>
        <v>35256.06</v>
      </c>
      <c r="I63" s="1"/>
      <c r="J63" s="5">
        <f t="shared" ref="J63:J70" si="29">IF(H$12=0,0,H63/H$12)</f>
        <v>2.8754435904109494E-2</v>
      </c>
      <c r="K63" s="1"/>
      <c r="L63" s="1">
        <f t="shared" ref="L63:L70" si="30">+D63-H63</f>
        <v>2503.3699999999953</v>
      </c>
      <c r="M63" s="1"/>
      <c r="N63" s="5">
        <f t="shared" ref="N63:N70" si="31">IF(H63=0,0,L63/H63)</f>
        <v>7.1005381769828943E-2</v>
      </c>
      <c r="O63" s="14"/>
      <c r="P63" s="1">
        <f>SUM(OSRRefP22_1x_0)</f>
        <v>70181.180000000008</v>
      </c>
      <c r="Q63" s="1"/>
      <c r="R63" s="5">
        <f t="shared" ref="R63:R70" si="32">IF(P$12=0,0,P63/P$12)</f>
        <v>6.5480623332956955E-2</v>
      </c>
      <c r="S63" s="1"/>
      <c r="T63" s="1">
        <f>SUM(OSRRefT22_1x_0)</f>
        <v>64557.290000000008</v>
      </c>
      <c r="U63" s="1"/>
      <c r="V63" s="5">
        <f t="shared" ref="V63:V70" si="33">IF(T$12=0,0,T63/T$12)</f>
        <v>5.0667061116144906E-2</v>
      </c>
      <c r="W63" s="1"/>
      <c r="X63" s="1">
        <f t="shared" ref="X63:X70" si="34">+P63-T63</f>
        <v>5623.8899999999994</v>
      </c>
      <c r="Y63" s="1"/>
      <c r="Z63" s="5">
        <f t="shared" ref="Z63:Z70" si="35">IF(T63=0,0,X63/T63)</f>
        <v>8.7114716246608229E-2</v>
      </c>
    </row>
    <row r="64" spans="1:26" s="24" customFormat="1" hidden="1" outlineLevel="2" x14ac:dyDescent="0.3">
      <c r="A64" s="27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8">
        <f t="shared" si="28"/>
        <v>0</v>
      </c>
      <c r="G64" s="2"/>
      <c r="H64" s="7"/>
      <c r="I64" s="2"/>
      <c r="J64" s="8">
        <f t="shared" si="29"/>
        <v>0</v>
      </c>
      <c r="K64" s="2"/>
      <c r="L64" s="7">
        <f t="shared" si="30"/>
        <v>0</v>
      </c>
      <c r="M64" s="2"/>
      <c r="N64" s="8">
        <f t="shared" si="31"/>
        <v>0</v>
      </c>
      <c r="O64" s="11"/>
      <c r="P64" s="7"/>
      <c r="Q64" s="2"/>
      <c r="R64" s="8">
        <f t="shared" si="32"/>
        <v>0</v>
      </c>
      <c r="S64" s="2"/>
      <c r="T64" s="7">
        <v>-311.32</v>
      </c>
      <c r="U64" s="2"/>
      <c r="V64" s="8">
        <f t="shared" si="33"/>
        <v>-2.4433599159255648E-4</v>
      </c>
      <c r="W64" s="2"/>
      <c r="X64" s="7">
        <f t="shared" si="34"/>
        <v>311.32</v>
      </c>
      <c r="Y64" s="2"/>
      <c r="Z64" s="8">
        <f t="shared" si="35"/>
        <v>-1</v>
      </c>
    </row>
    <row r="65" spans="1:26" s="24" customFormat="1" hidden="1" outlineLevel="2" x14ac:dyDescent="0.3">
      <c r="A65" s="27"/>
      <c r="B65" s="11" t="str">
        <f>CONCATENATE("          ", "6002", " - ", "STAFF SALARIES")</f>
        <v xml:space="preserve">          6002 - STAFF SALARIES</v>
      </c>
      <c r="C65" s="11"/>
      <c r="D65" s="7">
        <v>17688.78</v>
      </c>
      <c r="E65" s="2"/>
      <c r="F65" s="8">
        <f t="shared" si="28"/>
        <v>1.7519356609200797E-2</v>
      </c>
      <c r="G65" s="2"/>
      <c r="H65" s="7">
        <v>14705.64</v>
      </c>
      <c r="I65" s="2"/>
      <c r="J65" s="8">
        <f t="shared" si="29"/>
        <v>1.1993750373947308E-2</v>
      </c>
      <c r="K65" s="2"/>
      <c r="L65" s="7">
        <f t="shared" si="30"/>
        <v>2983.1399999999994</v>
      </c>
      <c r="M65" s="2"/>
      <c r="N65" s="8">
        <f t="shared" si="31"/>
        <v>0.20285686308110354</v>
      </c>
      <c r="O65" s="11"/>
      <c r="P65" s="7">
        <v>36750.01</v>
      </c>
      <c r="Q65" s="2"/>
      <c r="R65" s="8">
        <f t="shared" si="32"/>
        <v>3.4288587941844258E-2</v>
      </c>
      <c r="S65" s="2"/>
      <c r="T65" s="7">
        <v>33135.4</v>
      </c>
      <c r="U65" s="2"/>
      <c r="V65" s="8">
        <f t="shared" si="33"/>
        <v>2.6005945059154555E-2</v>
      </c>
      <c r="W65" s="2"/>
      <c r="X65" s="7">
        <f t="shared" si="34"/>
        <v>3614.6100000000006</v>
      </c>
      <c r="Y65" s="2"/>
      <c r="Z65" s="8">
        <f t="shared" si="35"/>
        <v>0.10908605298261076</v>
      </c>
    </row>
    <row r="66" spans="1:26" s="24" customFormat="1" hidden="1" outlineLevel="2" x14ac:dyDescent="0.3">
      <c r="A66" s="27"/>
      <c r="B66" s="11" t="str">
        <f>CONCATENATE("          ", "6004", " - ", "STAFF HOURLY")</f>
        <v xml:space="preserve">          6004 - STAFF HOURLY</v>
      </c>
      <c r="C66" s="11"/>
      <c r="D66" s="7">
        <v>6640.82</v>
      </c>
      <c r="E66" s="2"/>
      <c r="F66" s="8">
        <f t="shared" si="28"/>
        <v>6.5772141299463753E-3</v>
      </c>
      <c r="G66" s="2"/>
      <c r="H66" s="7">
        <v>6665.13</v>
      </c>
      <c r="I66" s="2"/>
      <c r="J66" s="8">
        <f t="shared" si="29"/>
        <v>5.4360031545656927E-3</v>
      </c>
      <c r="K66" s="2"/>
      <c r="L66" s="7">
        <f t="shared" si="30"/>
        <v>-24.3100000000004</v>
      </c>
      <c r="M66" s="2"/>
      <c r="N66" s="8">
        <f t="shared" si="31"/>
        <v>-3.647340712034184E-3</v>
      </c>
      <c r="O66" s="11"/>
      <c r="P66" s="7">
        <v>12824.87</v>
      </c>
      <c r="Q66" s="2"/>
      <c r="R66" s="8">
        <f t="shared" si="32"/>
        <v>1.1965892875613372E-2</v>
      </c>
      <c r="S66" s="2"/>
      <c r="T66" s="7">
        <v>12173.1</v>
      </c>
      <c r="U66" s="2"/>
      <c r="V66" s="8">
        <f t="shared" si="33"/>
        <v>9.5539202725663276E-3</v>
      </c>
      <c r="W66" s="2"/>
      <c r="X66" s="7">
        <f t="shared" si="34"/>
        <v>651.77000000000044</v>
      </c>
      <c r="Y66" s="2"/>
      <c r="Z66" s="8">
        <f t="shared" si="35"/>
        <v>5.3541825829082193E-2</v>
      </c>
    </row>
    <row r="67" spans="1:26" s="24" customFormat="1" hidden="1" outlineLevel="2" x14ac:dyDescent="0.3">
      <c r="A67" s="27"/>
      <c r="B67" s="11" t="str">
        <f>CONCATENATE("          ", "6005", " - ", "TEMPORARY WAGES-HOURLY")</f>
        <v xml:space="preserve">          6005 - TEMPORARY WAGES-HOURLY</v>
      </c>
      <c r="C67" s="11"/>
      <c r="D67" s="7">
        <v>3203.48</v>
      </c>
      <c r="E67" s="2"/>
      <c r="F67" s="8">
        <f t="shared" si="28"/>
        <v>3.1727970222051815E-3</v>
      </c>
      <c r="G67" s="2"/>
      <c r="H67" s="7">
        <v>3708.03</v>
      </c>
      <c r="I67" s="2"/>
      <c r="J67" s="8">
        <f t="shared" si="29"/>
        <v>3.0242265007920663E-3</v>
      </c>
      <c r="K67" s="2"/>
      <c r="L67" s="7">
        <f t="shared" si="30"/>
        <v>-504.55000000000018</v>
      </c>
      <c r="M67" s="2"/>
      <c r="N67" s="8">
        <f t="shared" si="31"/>
        <v>-0.13606955715029279</v>
      </c>
      <c r="O67" s="11"/>
      <c r="P67" s="7">
        <v>7081.27</v>
      </c>
      <c r="Q67" s="2"/>
      <c r="R67" s="8">
        <f t="shared" si="32"/>
        <v>6.6069845731999395E-3</v>
      </c>
      <c r="S67" s="2"/>
      <c r="T67" s="7">
        <v>5694.05</v>
      </c>
      <c r="U67" s="2"/>
      <c r="V67" s="8">
        <f t="shared" si="33"/>
        <v>4.4689109370666712E-3</v>
      </c>
      <c r="W67" s="2"/>
      <c r="X67" s="7">
        <f t="shared" si="34"/>
        <v>1387.2200000000003</v>
      </c>
      <c r="Y67" s="2"/>
      <c r="Z67" s="8">
        <f t="shared" si="35"/>
        <v>0.24362624142745501</v>
      </c>
    </row>
    <row r="68" spans="1:26" s="24" customFormat="1" hidden="1" outlineLevel="2" x14ac:dyDescent="0.3">
      <c r="A68" s="27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8">
        <f t="shared" si="28"/>
        <v>0</v>
      </c>
      <c r="G68" s="2"/>
      <c r="H68" s="7"/>
      <c r="I68" s="2"/>
      <c r="J68" s="8">
        <f t="shared" si="29"/>
        <v>0</v>
      </c>
      <c r="K68" s="2"/>
      <c r="L68" s="7">
        <f t="shared" si="30"/>
        <v>0</v>
      </c>
      <c r="M68" s="2"/>
      <c r="N68" s="8">
        <f t="shared" si="31"/>
        <v>0</v>
      </c>
      <c r="O68" s="11"/>
      <c r="P68" s="7"/>
      <c r="Q68" s="2"/>
      <c r="R68" s="8">
        <f t="shared" si="32"/>
        <v>0</v>
      </c>
      <c r="S68" s="2"/>
      <c r="T68" s="7">
        <v>502.29</v>
      </c>
      <c r="U68" s="2"/>
      <c r="V68" s="8">
        <f t="shared" si="33"/>
        <v>3.9421664273745725E-4</v>
      </c>
      <c r="W68" s="2"/>
      <c r="X68" s="7">
        <f t="shared" si="34"/>
        <v>-502.29</v>
      </c>
      <c r="Y68" s="2"/>
      <c r="Z68" s="8">
        <f t="shared" si="35"/>
        <v>-1</v>
      </c>
    </row>
    <row r="69" spans="1:26" s="24" customFormat="1" hidden="1" outlineLevel="2" x14ac:dyDescent="0.3">
      <c r="A69" s="27"/>
      <c r="B69" s="11" t="str">
        <f>CONCATENATE("          ", "6007", " - ", "STUDENT HOURLY")</f>
        <v xml:space="preserve">          6007 - STUDENT HOURLY</v>
      </c>
      <c r="C69" s="11"/>
      <c r="D69" s="7">
        <v>8687.33</v>
      </c>
      <c r="E69" s="2"/>
      <c r="F69" s="8">
        <f t="shared" si="28"/>
        <v>8.6041226275530795E-3</v>
      </c>
      <c r="G69" s="2"/>
      <c r="H69" s="7">
        <v>10177.26</v>
      </c>
      <c r="I69" s="2"/>
      <c r="J69" s="8">
        <f t="shared" si="29"/>
        <v>8.3004558748044285E-3</v>
      </c>
      <c r="K69" s="2"/>
      <c r="L69" s="7">
        <f t="shared" si="30"/>
        <v>-1489.9300000000003</v>
      </c>
      <c r="M69" s="2"/>
      <c r="N69" s="8">
        <f t="shared" si="31"/>
        <v>-0.14639794993937466</v>
      </c>
      <c r="O69" s="11"/>
      <c r="P69" s="7">
        <v>11986.01</v>
      </c>
      <c r="Q69" s="2"/>
      <c r="R69" s="8">
        <f t="shared" si="32"/>
        <v>1.1183217581623099E-2</v>
      </c>
      <c r="S69" s="2"/>
      <c r="T69" s="7">
        <v>13363.77</v>
      </c>
      <c r="U69" s="2"/>
      <c r="V69" s="8">
        <f t="shared" si="33"/>
        <v>1.0488404196212445E-2</v>
      </c>
      <c r="W69" s="2"/>
      <c r="X69" s="7">
        <f t="shared" si="34"/>
        <v>-1377.7600000000002</v>
      </c>
      <c r="Y69" s="2"/>
      <c r="Z69" s="8">
        <f t="shared" si="35"/>
        <v>-0.10309665610826886</v>
      </c>
    </row>
    <row r="70" spans="1:26" s="24" customFormat="1" hidden="1" outlineLevel="2" x14ac:dyDescent="0.3">
      <c r="A70" s="27"/>
      <c r="B70" s="11" t="str">
        <f>CONCATENATE("          ", "6008", " - ", "STUDENT HOURLY-FICA EXEMPT")</f>
        <v xml:space="preserve">          6008 - STUDENT HOURLY-FICA EXEMPT</v>
      </c>
      <c r="C70" s="11"/>
      <c r="D70" s="7">
        <v>1539.02</v>
      </c>
      <c r="E70" s="2"/>
      <c r="F70" s="8">
        <f t="shared" si="28"/>
        <v>1.5242792441701582E-3</v>
      </c>
      <c r="G70" s="2"/>
      <c r="H70" s="7"/>
      <c r="I70" s="2"/>
      <c r="J70" s="8">
        <f t="shared" si="29"/>
        <v>0</v>
      </c>
      <c r="K70" s="2"/>
      <c r="L70" s="7">
        <f t="shared" si="30"/>
        <v>1539.02</v>
      </c>
      <c r="M70" s="2"/>
      <c r="N70" s="8">
        <f t="shared" si="31"/>
        <v>0</v>
      </c>
      <c r="O70" s="11"/>
      <c r="P70" s="7">
        <v>1539.02</v>
      </c>
      <c r="Q70" s="2"/>
      <c r="R70" s="8">
        <f t="shared" si="32"/>
        <v>1.4359403606762869E-3</v>
      </c>
      <c r="S70" s="2"/>
      <c r="T70" s="7"/>
      <c r="U70" s="2"/>
      <c r="V70" s="8">
        <f t="shared" si="33"/>
        <v>0</v>
      </c>
      <c r="W70" s="2"/>
      <c r="X70" s="7">
        <f t="shared" si="34"/>
        <v>1539.02</v>
      </c>
      <c r="Y70" s="2"/>
      <c r="Z70" s="8">
        <f t="shared" si="35"/>
        <v>0</v>
      </c>
    </row>
    <row r="71" spans="1:26" s="28" customFormat="1" outlineLevel="1" collapsed="1" x14ac:dyDescent="0.3">
      <c r="A71" s="29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84.14</v>
      </c>
      <c r="E71" s="1"/>
      <c r="F71" s="5">
        <f t="shared" ref="F71:F87" si="36">IF(D$12=0,0,D71/D$12)</f>
        <v>8.3334105862482041E-5</v>
      </c>
      <c r="G71" s="1"/>
      <c r="H71" s="1">
        <f>SUM(OSRRefH22_2x_0)</f>
        <v>109.98</v>
      </c>
      <c r="I71" s="1"/>
      <c r="J71" s="5">
        <f t="shared" ref="J71:J87" si="37">IF(H$12=0,0,H71/H$12)</f>
        <v>8.969841952657111E-5</v>
      </c>
      <c r="K71" s="1"/>
      <c r="L71" s="1">
        <f t="shared" ref="L71:L87" si="38">+D71-H71</f>
        <v>-25.840000000000003</v>
      </c>
      <c r="M71" s="1"/>
      <c r="N71" s="5">
        <f t="shared" ref="N71:N87" si="39">IF(H71=0,0,L71/H71)</f>
        <v>-0.23495180941989455</v>
      </c>
      <c r="O71" s="14"/>
      <c r="P71" s="1">
        <f>SUM(OSRRefP22_2x_0)</f>
        <v>84.14</v>
      </c>
      <c r="Q71" s="1"/>
      <c r="R71" s="5">
        <f t="shared" ref="R71:R87" si="40">IF(P$12=0,0,P71/P$12)</f>
        <v>7.8504517126030059E-5</v>
      </c>
      <c r="S71" s="1"/>
      <c r="T71" s="1">
        <f>SUM(OSRRefT22_2x_0)</f>
        <v>1359.88</v>
      </c>
      <c r="U71" s="1"/>
      <c r="V71" s="5">
        <f t="shared" ref="V71:V87" si="41">IF(T$12=0,0,T71/T$12)</f>
        <v>1.0672864841542004E-3</v>
      </c>
      <c r="W71" s="1"/>
      <c r="X71" s="1">
        <f t="shared" ref="X71:X87" si="42">+P71-T71</f>
        <v>-1275.74</v>
      </c>
      <c r="Y71" s="1"/>
      <c r="Z71" s="5">
        <f t="shared" ref="Z71:Z87" si="43">IF(T71=0,0,X71/T71)</f>
        <v>-0.9381268935494308</v>
      </c>
    </row>
    <row r="72" spans="1:26" s="24" customFormat="1" hidden="1" outlineLevel="2" x14ac:dyDescent="0.3">
      <c r="A72" s="27"/>
      <c r="B72" s="11" t="str">
        <f>CONCATENATE("          ", "6362", " - ", "ADVERTISING EXPENSE")</f>
        <v xml:space="preserve">          6362 - ADVERTISING EXPENSE</v>
      </c>
      <c r="C72" s="11"/>
      <c r="D72" s="7">
        <v>84.14</v>
      </c>
      <c r="E72" s="2"/>
      <c r="F72" s="8">
        <f t="shared" si="36"/>
        <v>8.3334105862482041E-5</v>
      </c>
      <c r="G72" s="2"/>
      <c r="H72" s="7">
        <v>109.98</v>
      </c>
      <c r="I72" s="2"/>
      <c r="J72" s="8">
        <f t="shared" si="37"/>
        <v>8.969841952657111E-5</v>
      </c>
      <c r="K72" s="2"/>
      <c r="L72" s="7">
        <f t="shared" si="38"/>
        <v>-25.840000000000003</v>
      </c>
      <c r="M72" s="2"/>
      <c r="N72" s="8">
        <f t="shared" si="39"/>
        <v>-0.23495180941989455</v>
      </c>
      <c r="O72" s="11"/>
      <c r="P72" s="7">
        <v>84.14</v>
      </c>
      <c r="Q72" s="2"/>
      <c r="R72" s="8">
        <f t="shared" si="40"/>
        <v>7.8504517126030059E-5</v>
      </c>
      <c r="S72" s="2"/>
      <c r="T72" s="7">
        <v>1359.88</v>
      </c>
      <c r="U72" s="2"/>
      <c r="V72" s="8">
        <f t="shared" si="41"/>
        <v>1.0672864841542004E-3</v>
      </c>
      <c r="W72" s="2"/>
      <c r="X72" s="7">
        <f t="shared" si="42"/>
        <v>-1275.74</v>
      </c>
      <c r="Y72" s="2"/>
      <c r="Z72" s="8">
        <f t="shared" si="43"/>
        <v>-0.9381268935494308</v>
      </c>
    </row>
    <row r="73" spans="1:26" s="28" customFormat="1" outlineLevel="1" collapsed="1" x14ac:dyDescent="0.3">
      <c r="A73" s="29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SUM(OSRRefD22_3x_0)</f>
        <v>0</v>
      </c>
      <c r="E73" s="1"/>
      <c r="F73" s="5">
        <f t="shared" si="36"/>
        <v>0</v>
      </c>
      <c r="G73" s="1"/>
      <c r="H73" s="1">
        <f>SUM(OSRRefH22_3x_0)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SUM(OSRRefP22_3x_0)</f>
        <v>0</v>
      </c>
      <c r="Q73" s="1"/>
      <c r="R73" s="5">
        <f t="shared" si="40"/>
        <v>0</v>
      </c>
      <c r="S73" s="1"/>
      <c r="T73" s="1">
        <f>SUM(OSRRefT22_3x_0)</f>
        <v>0</v>
      </c>
      <c r="U73" s="1"/>
      <c r="V73" s="5">
        <f t="shared" si="41"/>
        <v>0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3">
      <c r="A74" s="27"/>
      <c r="B74" s="11" t="str">
        <f>CONCATENATE("          ", "6382", " - ", "DISCOUNTS/MARK DOWNS")</f>
        <v xml:space="preserve">          6382 - DISCOUNTS/MARK DOWNS</v>
      </c>
      <c r="C74" s="11"/>
      <c r="D74" s="7"/>
      <c r="E74" s="2"/>
      <c r="F74" s="8">
        <f t="shared" si="36"/>
        <v>0</v>
      </c>
      <c r="G74" s="2"/>
      <c r="H74" s="7">
        <v>0</v>
      </c>
      <c r="I74" s="2"/>
      <c r="J74" s="8">
        <f t="shared" si="37"/>
        <v>0</v>
      </c>
      <c r="K74" s="2"/>
      <c r="L74" s="7">
        <f t="shared" si="38"/>
        <v>0</v>
      </c>
      <c r="M74" s="2"/>
      <c r="N74" s="8">
        <f t="shared" si="39"/>
        <v>0</v>
      </c>
      <c r="O74" s="11"/>
      <c r="P74" s="7"/>
      <c r="Q74" s="2"/>
      <c r="R74" s="8">
        <f t="shared" si="40"/>
        <v>0</v>
      </c>
      <c r="S74" s="2"/>
      <c r="T74" s="7">
        <v>0</v>
      </c>
      <c r="U74" s="2"/>
      <c r="V74" s="8">
        <f t="shared" si="41"/>
        <v>0</v>
      </c>
      <c r="W74" s="2"/>
      <c r="X74" s="7">
        <f t="shared" si="42"/>
        <v>0</v>
      </c>
      <c r="Y74" s="2"/>
      <c r="Z74" s="8">
        <f t="shared" si="43"/>
        <v>0</v>
      </c>
    </row>
    <row r="75" spans="1:26" s="28" customFormat="1" outlineLevel="1" collapsed="1" x14ac:dyDescent="0.3">
      <c r="A75" s="29"/>
      <c r="B75" s="14" t="str">
        <f>CONCATENATE("     ","Employees' Appreciation                           ")</f>
        <v xml:space="preserve">     Employees' Appreciation                           </v>
      </c>
      <c r="C75" s="14"/>
      <c r="D75" s="1">
        <f>SUM(OSRRefD22_4x_0)</f>
        <v>0</v>
      </c>
      <c r="E75" s="1"/>
      <c r="F75" s="5">
        <f t="shared" si="36"/>
        <v>0</v>
      </c>
      <c r="G75" s="1"/>
      <c r="H75" s="1">
        <f>SUM(OSRRefH22_4x_0)</f>
        <v>0</v>
      </c>
      <c r="I75" s="1"/>
      <c r="J75" s="5">
        <f t="shared" si="37"/>
        <v>0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SUM(OSRRefP22_4x_0)</f>
        <v>0</v>
      </c>
      <c r="Q75" s="1"/>
      <c r="R75" s="5">
        <f t="shared" si="40"/>
        <v>0</v>
      </c>
      <c r="S75" s="1"/>
      <c r="T75" s="1">
        <f>SUM(OSRRefT22_4x_0)</f>
        <v>107.7</v>
      </c>
      <c r="U75" s="1"/>
      <c r="V75" s="5">
        <f t="shared" si="41"/>
        <v>8.4527130587557273E-5</v>
      </c>
      <c r="W75" s="1"/>
      <c r="X75" s="1">
        <f t="shared" si="42"/>
        <v>-107.7</v>
      </c>
      <c r="Y75" s="1"/>
      <c r="Z75" s="5">
        <f t="shared" si="43"/>
        <v>-1</v>
      </c>
    </row>
    <row r="76" spans="1:26" s="24" customFormat="1" hidden="1" outlineLevel="2" x14ac:dyDescent="0.3">
      <c r="A76" s="27"/>
      <c r="B76" s="11" t="str">
        <f>CONCATENATE("          ", "6277", " - ", "EMPLOYEE APPRECIATION")</f>
        <v xml:space="preserve">          6277 - EMPLOYEE APPRECIATION</v>
      </c>
      <c r="C76" s="11"/>
      <c r="D76" s="7"/>
      <c r="E76" s="2"/>
      <c r="F76" s="8">
        <f t="shared" si="36"/>
        <v>0</v>
      </c>
      <c r="G76" s="2"/>
      <c r="H76" s="7"/>
      <c r="I76" s="2"/>
      <c r="J76" s="8">
        <f t="shared" si="37"/>
        <v>0</v>
      </c>
      <c r="K76" s="2"/>
      <c r="L76" s="7">
        <f t="shared" si="38"/>
        <v>0</v>
      </c>
      <c r="M76" s="2"/>
      <c r="N76" s="8">
        <f t="shared" si="39"/>
        <v>0</v>
      </c>
      <c r="O76" s="11"/>
      <c r="P76" s="7"/>
      <c r="Q76" s="2"/>
      <c r="R76" s="8">
        <f t="shared" si="40"/>
        <v>0</v>
      </c>
      <c r="S76" s="2"/>
      <c r="T76" s="7">
        <v>107.7</v>
      </c>
      <c r="U76" s="2"/>
      <c r="V76" s="8">
        <f t="shared" si="41"/>
        <v>8.4527130587557273E-5</v>
      </c>
      <c r="W76" s="2"/>
      <c r="X76" s="7">
        <f t="shared" si="42"/>
        <v>-107.7</v>
      </c>
      <c r="Y76" s="2"/>
      <c r="Z76" s="8">
        <f t="shared" si="43"/>
        <v>-1</v>
      </c>
    </row>
    <row r="77" spans="1:26" s="28" customFormat="1" outlineLevel="1" collapsed="1" x14ac:dyDescent="0.3">
      <c r="A77" s="29"/>
      <c r="B77" s="14" t="str">
        <f>CONCATENATE("     ","Equipment Rental                                  ")</f>
        <v xml:space="preserve">     Equipment Rental                                  </v>
      </c>
      <c r="C77" s="14"/>
      <c r="D77" s="1">
        <f>SUM(OSRRefD22_5x_0)</f>
        <v>91.26</v>
      </c>
      <c r="E77" s="1"/>
      <c r="F77" s="5">
        <f t="shared" si="36"/>
        <v>9.0385910399454618E-5</v>
      </c>
      <c r="G77" s="1"/>
      <c r="H77" s="1">
        <f>SUM(OSRRefH22_5x_0)</f>
        <v>91.26</v>
      </c>
      <c r="I77" s="1"/>
      <c r="J77" s="5">
        <f t="shared" si="37"/>
        <v>7.443060343694198E-5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SUM(OSRRefP22_5x_0)</f>
        <v>182.52</v>
      </c>
      <c r="Q77" s="1"/>
      <c r="R77" s="5">
        <f t="shared" si="40"/>
        <v>1.7029527532497036E-4</v>
      </c>
      <c r="S77" s="1"/>
      <c r="T77" s="1">
        <f>SUM(OSRRefT22_5x_0)</f>
        <v>182.52</v>
      </c>
      <c r="U77" s="1"/>
      <c r="V77" s="5">
        <f t="shared" si="41"/>
        <v>1.4324876392609985E-4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1" t="str">
        <f>CONCATENATE("          ", "6351", " - ", "EQUIPMENT RENTAL")</f>
        <v xml:space="preserve">          6351 - EQUIPMENT RENTAL</v>
      </c>
      <c r="C78" s="11"/>
      <c r="D78" s="7">
        <v>91.26</v>
      </c>
      <c r="E78" s="2"/>
      <c r="F78" s="8">
        <f t="shared" si="36"/>
        <v>9.0385910399454618E-5</v>
      </c>
      <c r="G78" s="2"/>
      <c r="H78" s="7">
        <v>91.26</v>
      </c>
      <c r="I78" s="2"/>
      <c r="J78" s="8">
        <f t="shared" si="37"/>
        <v>7.443060343694198E-5</v>
      </c>
      <c r="K78" s="2"/>
      <c r="L78" s="7">
        <f t="shared" si="38"/>
        <v>0</v>
      </c>
      <c r="M78" s="2"/>
      <c r="N78" s="8">
        <f t="shared" si="39"/>
        <v>0</v>
      </c>
      <c r="O78" s="11"/>
      <c r="P78" s="7">
        <v>182.52</v>
      </c>
      <c r="Q78" s="2"/>
      <c r="R78" s="8">
        <f t="shared" si="40"/>
        <v>1.7029527532497036E-4</v>
      </c>
      <c r="S78" s="2"/>
      <c r="T78" s="7">
        <v>182.52</v>
      </c>
      <c r="U78" s="2"/>
      <c r="V78" s="8">
        <f t="shared" si="41"/>
        <v>1.4324876392609985E-4</v>
      </c>
      <c r="W78" s="2"/>
      <c r="X78" s="7">
        <f t="shared" si="42"/>
        <v>0</v>
      </c>
      <c r="Y78" s="2"/>
      <c r="Z78" s="8">
        <f t="shared" si="43"/>
        <v>0</v>
      </c>
    </row>
    <row r="79" spans="1:26" s="28" customFormat="1" outlineLevel="1" collapsed="1" x14ac:dyDescent="0.3">
      <c r="A79" s="29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163.30000000000001</v>
      </c>
      <c r="E79" s="1"/>
      <c r="F79" s="5">
        <f t="shared" si="36"/>
        <v>1.6173591023702541E-4</v>
      </c>
      <c r="G79" s="1"/>
      <c r="H79" s="1">
        <f>SUM(OSRRefH22_6x_0)</f>
        <v>333.31</v>
      </c>
      <c r="I79" s="1"/>
      <c r="J79" s="5">
        <f t="shared" si="37"/>
        <v>2.7184379171123305E-4</v>
      </c>
      <c r="K79" s="1"/>
      <c r="L79" s="1">
        <f t="shared" si="38"/>
        <v>-170.01</v>
      </c>
      <c r="M79" s="1"/>
      <c r="N79" s="5">
        <f t="shared" si="39"/>
        <v>-0.51006570459932188</v>
      </c>
      <c r="O79" s="14"/>
      <c r="P79" s="1">
        <f>SUM(OSRRefP22_6x_0)</f>
        <v>295.97000000000003</v>
      </c>
      <c r="Q79" s="1"/>
      <c r="R79" s="5">
        <f t="shared" si="40"/>
        <v>2.7614668331104252E-4</v>
      </c>
      <c r="S79" s="1"/>
      <c r="T79" s="1">
        <f>SUM(OSRRefT22_6x_0)</f>
        <v>500.81</v>
      </c>
      <c r="U79" s="1"/>
      <c r="V79" s="5">
        <f t="shared" si="41"/>
        <v>3.9305508142576192E-4</v>
      </c>
      <c r="W79" s="1"/>
      <c r="X79" s="1">
        <f t="shared" si="42"/>
        <v>-204.83999999999997</v>
      </c>
      <c r="Y79" s="1"/>
      <c r="Z79" s="5">
        <f t="shared" si="43"/>
        <v>-0.40901739182524305</v>
      </c>
    </row>
    <row r="80" spans="1:26" s="24" customFormat="1" hidden="1" outlineLevel="2" x14ac:dyDescent="0.3">
      <c r="A80" s="27"/>
      <c r="B80" s="11" t="str">
        <f>CONCATENATE("          ", "6305", " - ", "FREIGHT OUT")</f>
        <v xml:space="preserve">          6305 - FREIGHT OUT</v>
      </c>
      <c r="C80" s="11"/>
      <c r="D80" s="7">
        <v>163.30000000000001</v>
      </c>
      <c r="E80" s="2"/>
      <c r="F80" s="8">
        <f t="shared" si="36"/>
        <v>1.6173591023702541E-4</v>
      </c>
      <c r="G80" s="2"/>
      <c r="H80" s="7">
        <v>333.31</v>
      </c>
      <c r="I80" s="2"/>
      <c r="J80" s="8">
        <f t="shared" si="37"/>
        <v>2.7184379171123305E-4</v>
      </c>
      <c r="K80" s="2"/>
      <c r="L80" s="7">
        <f t="shared" si="38"/>
        <v>-170.01</v>
      </c>
      <c r="M80" s="2"/>
      <c r="N80" s="8">
        <f t="shared" si="39"/>
        <v>-0.51006570459932188</v>
      </c>
      <c r="O80" s="11"/>
      <c r="P80" s="7">
        <v>295.97000000000003</v>
      </c>
      <c r="Q80" s="2"/>
      <c r="R80" s="8">
        <f t="shared" si="40"/>
        <v>2.7614668331104252E-4</v>
      </c>
      <c r="S80" s="2"/>
      <c r="T80" s="7">
        <v>500.81</v>
      </c>
      <c r="U80" s="2"/>
      <c r="V80" s="8">
        <f t="shared" si="41"/>
        <v>3.9305508142576192E-4</v>
      </c>
      <c r="W80" s="2"/>
      <c r="X80" s="7">
        <f t="shared" si="42"/>
        <v>-204.83999999999997</v>
      </c>
      <c r="Y80" s="2"/>
      <c r="Z80" s="8">
        <f t="shared" si="43"/>
        <v>-0.40901739182524305</v>
      </c>
    </row>
    <row r="81" spans="1:26" s="28" customFormat="1" outlineLevel="1" collapsed="1" x14ac:dyDescent="0.3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si="36"/>
        <v>0</v>
      </c>
      <c r="G81" s="1"/>
      <c r="H81" s="1">
        <f>SUM(OSRRefH22_7x_0)</f>
        <v>0</v>
      </c>
      <c r="I81" s="1"/>
      <c r="J81" s="5">
        <f t="shared" si="37"/>
        <v>0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SUM(OSRRefP22_7x_0)</f>
        <v>0</v>
      </c>
      <c r="Q81" s="1"/>
      <c r="R81" s="5">
        <f t="shared" si="40"/>
        <v>0</v>
      </c>
      <c r="S81" s="1"/>
      <c r="T81" s="1">
        <f>SUM(OSRRefT22_7x_0)</f>
        <v>-4794.1899999999996</v>
      </c>
      <c r="U81" s="1"/>
      <c r="V81" s="5">
        <f t="shared" si="41"/>
        <v>-3.7626659627814411E-3</v>
      </c>
      <c r="W81" s="1"/>
      <c r="X81" s="1">
        <f t="shared" si="42"/>
        <v>4794.1899999999996</v>
      </c>
      <c r="Y81" s="1"/>
      <c r="Z81" s="5">
        <f t="shared" si="43"/>
        <v>-1</v>
      </c>
    </row>
    <row r="82" spans="1:26" s="24" customFormat="1" hidden="1" outlineLevel="2" x14ac:dyDescent="0.3">
      <c r="A82" s="27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8">
        <f t="shared" si="36"/>
        <v>0</v>
      </c>
      <c r="G82" s="2"/>
      <c r="H82" s="7"/>
      <c r="I82" s="2"/>
      <c r="J82" s="8">
        <f t="shared" si="37"/>
        <v>0</v>
      </c>
      <c r="K82" s="2"/>
      <c r="L82" s="7">
        <f t="shared" si="38"/>
        <v>0</v>
      </c>
      <c r="M82" s="2"/>
      <c r="N82" s="8">
        <f t="shared" si="39"/>
        <v>0</v>
      </c>
      <c r="O82" s="11"/>
      <c r="P82" s="7"/>
      <c r="Q82" s="2"/>
      <c r="R82" s="8">
        <f t="shared" si="40"/>
        <v>0</v>
      </c>
      <c r="S82" s="2"/>
      <c r="T82" s="7">
        <v>-4794.1899999999996</v>
      </c>
      <c r="U82" s="2"/>
      <c r="V82" s="8">
        <f t="shared" si="41"/>
        <v>-3.7626659627814411E-3</v>
      </c>
      <c r="W82" s="2"/>
      <c r="X82" s="7">
        <f t="shared" si="42"/>
        <v>4794.1899999999996</v>
      </c>
      <c r="Y82" s="2"/>
      <c r="Z82" s="8">
        <f t="shared" si="43"/>
        <v>-1</v>
      </c>
    </row>
    <row r="83" spans="1:26" s="28" customFormat="1" outlineLevel="1" collapsed="1" x14ac:dyDescent="0.3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1000</v>
      </c>
      <c r="E83" s="1"/>
      <c r="F83" s="5">
        <f t="shared" si="36"/>
        <v>9.9042198552985565E-4</v>
      </c>
      <c r="G83" s="1"/>
      <c r="H83" s="1">
        <f>SUM(OSRRefH22_8x_0)</f>
        <v>1000</v>
      </c>
      <c r="I83" s="1"/>
      <c r="J83" s="5">
        <f t="shared" si="37"/>
        <v>8.1558846632634203E-4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2000</v>
      </c>
      <c r="Q83" s="1"/>
      <c r="R83" s="5">
        <f t="shared" si="40"/>
        <v>1.8660450945098658E-3</v>
      </c>
      <c r="S83" s="1"/>
      <c r="T83" s="1">
        <f>SUM(OSRRefT22_8x_0)</f>
        <v>2000</v>
      </c>
      <c r="U83" s="1"/>
      <c r="V83" s="5">
        <f t="shared" si="41"/>
        <v>1.569677448236904E-3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3">
      <c r="A84" s="27"/>
      <c r="B84" s="11" t="str">
        <f>CONCATENATE("          ", "6408", " - ", "INVENTORY ADJUSTMENT")</f>
        <v xml:space="preserve">          6408 - INVENTORY ADJUSTMENT</v>
      </c>
      <c r="C84" s="11"/>
      <c r="D84" s="7">
        <v>1000</v>
      </c>
      <c r="E84" s="2"/>
      <c r="F84" s="8">
        <f t="shared" si="36"/>
        <v>9.9042198552985565E-4</v>
      </c>
      <c r="G84" s="2"/>
      <c r="H84" s="7">
        <v>1000</v>
      </c>
      <c r="I84" s="2"/>
      <c r="J84" s="8">
        <f t="shared" si="37"/>
        <v>8.1558846632634203E-4</v>
      </c>
      <c r="K84" s="2"/>
      <c r="L84" s="7">
        <f t="shared" si="38"/>
        <v>0</v>
      </c>
      <c r="M84" s="2"/>
      <c r="N84" s="8">
        <f t="shared" si="39"/>
        <v>0</v>
      </c>
      <c r="O84" s="11"/>
      <c r="P84" s="7">
        <v>2000</v>
      </c>
      <c r="Q84" s="2"/>
      <c r="R84" s="8">
        <f t="shared" si="40"/>
        <v>1.8660450945098658E-3</v>
      </c>
      <c r="S84" s="2"/>
      <c r="T84" s="7">
        <v>2000</v>
      </c>
      <c r="U84" s="2"/>
      <c r="V84" s="8">
        <f t="shared" si="41"/>
        <v>1.569677448236904E-3</v>
      </c>
      <c r="W84" s="2"/>
      <c r="X84" s="7">
        <f t="shared" si="42"/>
        <v>0</v>
      </c>
      <c r="Y84" s="2"/>
      <c r="Z84" s="8">
        <f t="shared" si="43"/>
        <v>0</v>
      </c>
    </row>
    <row r="85" spans="1:26" s="28" customFormat="1" outlineLevel="1" collapsed="1" x14ac:dyDescent="0.3">
      <c r="A85" s="29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SUM(OSRRefP22_9x_0)</f>
        <v>2900.53</v>
      </c>
      <c r="Q85" s="1"/>
      <c r="R85" s="5">
        <f t="shared" si="40"/>
        <v>2.7062598889893508E-3</v>
      </c>
      <c r="S85" s="1"/>
      <c r="T85" s="1">
        <f>SUM(OSRRefT22_9x_0)</f>
        <v>22.86</v>
      </c>
      <c r="U85" s="1"/>
      <c r="V85" s="5">
        <f t="shared" si="41"/>
        <v>1.7941413233347812E-5</v>
      </c>
      <c r="W85" s="1"/>
      <c r="X85" s="1">
        <f t="shared" si="42"/>
        <v>2877.67</v>
      </c>
      <c r="Y85" s="1"/>
      <c r="Z85" s="5">
        <f t="shared" si="43"/>
        <v>125.88232720909888</v>
      </c>
    </row>
    <row r="86" spans="1:26" s="24" customFormat="1" hidden="1" outlineLevel="2" x14ac:dyDescent="0.3">
      <c r="A86" s="27"/>
      <c r="B86" s="11" t="str">
        <f>CONCATENATE("          ", "6371", " - ", "COMPUTER SOFTWARE MAINTENANCE")</f>
        <v xml:space="preserve">          6371 - COMPUTER SOFTWARE MAINTENANCE</v>
      </c>
      <c r="C86" s="11"/>
      <c r="D86" s="7">
        <v>0</v>
      </c>
      <c r="E86" s="2"/>
      <c r="F86" s="8">
        <f t="shared" si="36"/>
        <v>0</v>
      </c>
      <c r="G86" s="2"/>
      <c r="H86" s="7"/>
      <c r="I86" s="2"/>
      <c r="J86" s="8">
        <f t="shared" si="37"/>
        <v>0</v>
      </c>
      <c r="K86" s="2"/>
      <c r="L86" s="7">
        <f t="shared" si="38"/>
        <v>0</v>
      </c>
      <c r="M86" s="2"/>
      <c r="N86" s="8">
        <f t="shared" si="39"/>
        <v>0</v>
      </c>
      <c r="O86" s="11"/>
      <c r="P86" s="7">
        <v>2887.5</v>
      </c>
      <c r="Q86" s="2"/>
      <c r="R86" s="8">
        <f t="shared" si="40"/>
        <v>2.694102605198619E-3</v>
      </c>
      <c r="S86" s="2"/>
      <c r="T86" s="7"/>
      <c r="U86" s="2"/>
      <c r="V86" s="8">
        <f t="shared" si="41"/>
        <v>0</v>
      </c>
      <c r="W86" s="2"/>
      <c r="X86" s="7">
        <f t="shared" si="42"/>
        <v>2887.5</v>
      </c>
      <c r="Y86" s="2"/>
      <c r="Z86" s="8">
        <f t="shared" si="43"/>
        <v>0</v>
      </c>
    </row>
    <row r="87" spans="1:26" s="24" customFormat="1" hidden="1" outlineLevel="2" x14ac:dyDescent="0.3">
      <c r="A87" s="27"/>
      <c r="B87" s="11" t="str">
        <f>CONCATENATE("          ", "6373", " - ", "MAINTENANCE CONTRACTS")</f>
        <v xml:space="preserve">          6373 - MAINTENANCE CONTRACTS</v>
      </c>
      <c r="C87" s="11"/>
      <c r="D87" s="7"/>
      <c r="E87" s="2"/>
      <c r="F87" s="8">
        <f t="shared" si="36"/>
        <v>0</v>
      </c>
      <c r="G87" s="2"/>
      <c r="H87" s="7"/>
      <c r="I87" s="2"/>
      <c r="J87" s="8">
        <f t="shared" si="37"/>
        <v>0</v>
      </c>
      <c r="K87" s="2"/>
      <c r="L87" s="7">
        <f t="shared" si="38"/>
        <v>0</v>
      </c>
      <c r="M87" s="2"/>
      <c r="N87" s="8">
        <f t="shared" si="39"/>
        <v>0</v>
      </c>
      <c r="O87" s="11"/>
      <c r="P87" s="7">
        <v>13.03</v>
      </c>
      <c r="Q87" s="2"/>
      <c r="R87" s="8">
        <f t="shared" si="40"/>
        <v>1.2157283790731775E-5</v>
      </c>
      <c r="S87" s="2"/>
      <c r="T87" s="7">
        <v>22.86</v>
      </c>
      <c r="U87" s="2"/>
      <c r="V87" s="8">
        <f t="shared" si="41"/>
        <v>1.7941413233347812E-5</v>
      </c>
      <c r="W87" s="2"/>
      <c r="X87" s="7">
        <f t="shared" si="42"/>
        <v>-9.83</v>
      </c>
      <c r="Y87" s="2"/>
      <c r="Z87" s="8">
        <f t="shared" si="43"/>
        <v>-0.43000874890638674</v>
      </c>
    </row>
    <row r="88" spans="1:26" s="28" customFormat="1" outlineLevel="1" collapsed="1" x14ac:dyDescent="0.3">
      <c r="A88" s="29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SUM(OSRRefD22_10x_0)</f>
        <v>57</v>
      </c>
      <c r="E88" s="1"/>
      <c r="F88" s="5">
        <f t="shared" ref="F88:F92" si="44">IF(D$12=0,0,D88/D$12)</f>
        <v>5.6454053175201769E-5</v>
      </c>
      <c r="G88" s="1"/>
      <c r="H88" s="1">
        <f>SUM(OSRRefH22_10x_0)</f>
        <v>270</v>
      </c>
      <c r="I88" s="1"/>
      <c r="J88" s="5">
        <f t="shared" ref="J88:J92" si="45">IF(H$12=0,0,H88/H$12)</f>
        <v>2.2020888590811236E-4</v>
      </c>
      <c r="K88" s="1"/>
      <c r="L88" s="1">
        <f t="shared" ref="L88:L92" si="46">+D88-H88</f>
        <v>-213</v>
      </c>
      <c r="M88" s="1"/>
      <c r="N88" s="5">
        <f t="shared" ref="N88:N92" si="47">IF(H88=0,0,L88/H88)</f>
        <v>-0.78888888888888886</v>
      </c>
      <c r="O88" s="14"/>
      <c r="P88" s="1">
        <f>SUM(OSRRefP22_10x_0)</f>
        <v>125.32</v>
      </c>
      <c r="Q88" s="1"/>
      <c r="R88" s="5">
        <f t="shared" ref="R88:R92" si="48">IF(P$12=0,0,P88/P$12)</f>
        <v>1.1692638562198818E-4</v>
      </c>
      <c r="S88" s="1"/>
      <c r="T88" s="1">
        <f>SUM(OSRRefT22_10x_0)</f>
        <v>560</v>
      </c>
      <c r="U88" s="1"/>
      <c r="V88" s="5">
        <f t="shared" ref="V88:V92" si="49">IF(T$12=0,0,T88/T$12)</f>
        <v>4.395096855063331E-4</v>
      </c>
      <c r="W88" s="1"/>
      <c r="X88" s="1">
        <f t="shared" ref="X88:X92" si="50">+P88-T88</f>
        <v>-434.68</v>
      </c>
      <c r="Y88" s="1"/>
      <c r="Z88" s="5">
        <f t="shared" ref="Z88:Z92" si="51">IF(T88=0,0,X88/T88)</f>
        <v>-0.77621428571428575</v>
      </c>
    </row>
    <row r="89" spans="1:26" s="24" customFormat="1" hidden="1" outlineLevel="2" x14ac:dyDescent="0.3">
      <c r="A89" s="27"/>
      <c r="B89" s="11" t="str">
        <f>CONCATENATE("          ", "6258", " - ", "MEMBERSHIP DUES")</f>
        <v xml:space="preserve">          6258 - MEMBERSHIP DUES</v>
      </c>
      <c r="C89" s="11"/>
      <c r="D89" s="7">
        <v>57</v>
      </c>
      <c r="E89" s="2"/>
      <c r="F89" s="8">
        <f t="shared" si="44"/>
        <v>5.6454053175201769E-5</v>
      </c>
      <c r="G89" s="2"/>
      <c r="H89" s="7">
        <v>270</v>
      </c>
      <c r="I89" s="2"/>
      <c r="J89" s="8">
        <f t="shared" si="45"/>
        <v>2.2020888590811236E-4</v>
      </c>
      <c r="K89" s="2"/>
      <c r="L89" s="7">
        <f t="shared" si="46"/>
        <v>-213</v>
      </c>
      <c r="M89" s="2"/>
      <c r="N89" s="8">
        <f t="shared" si="47"/>
        <v>-0.78888888888888886</v>
      </c>
      <c r="O89" s="11"/>
      <c r="P89" s="7">
        <v>125.32</v>
      </c>
      <c r="Q89" s="2"/>
      <c r="R89" s="8">
        <f t="shared" si="48"/>
        <v>1.1692638562198818E-4</v>
      </c>
      <c r="S89" s="2"/>
      <c r="T89" s="7">
        <v>560</v>
      </c>
      <c r="U89" s="2"/>
      <c r="V89" s="8">
        <f t="shared" si="49"/>
        <v>4.395096855063331E-4</v>
      </c>
      <c r="W89" s="2"/>
      <c r="X89" s="7">
        <f t="shared" si="50"/>
        <v>-434.68</v>
      </c>
      <c r="Y89" s="2"/>
      <c r="Z89" s="8">
        <f t="shared" si="51"/>
        <v>-0.77621428571428575</v>
      </c>
    </row>
    <row r="90" spans="1:26" s="28" customFormat="1" outlineLevel="1" collapsed="1" x14ac:dyDescent="0.3">
      <c r="A90" s="29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SUM(OSRRefD22_11x_0)</f>
        <v>485.61</v>
      </c>
      <c r="E90" s="1"/>
      <c r="F90" s="5">
        <f t="shared" si="44"/>
        <v>4.8095882039315318E-4</v>
      </c>
      <c r="G90" s="1"/>
      <c r="H90" s="1">
        <f>SUM(OSRRefH22_11x_0)</f>
        <v>197.4</v>
      </c>
      <c r="I90" s="1"/>
      <c r="J90" s="5">
        <f t="shared" si="45"/>
        <v>1.6099716325281992E-4</v>
      </c>
      <c r="K90" s="1"/>
      <c r="L90" s="1">
        <f t="shared" si="46"/>
        <v>288.21000000000004</v>
      </c>
      <c r="M90" s="1"/>
      <c r="N90" s="5">
        <f t="shared" si="47"/>
        <v>1.4600303951367783</v>
      </c>
      <c r="O90" s="14"/>
      <c r="P90" s="1">
        <f>SUM(OSRRefP22_11x_0)</f>
        <v>601.35</v>
      </c>
      <c r="Q90" s="1"/>
      <c r="R90" s="5">
        <f t="shared" si="48"/>
        <v>5.6107310879175397E-4</v>
      </c>
      <c r="S90" s="1"/>
      <c r="T90" s="1">
        <f>SUM(OSRRefT22_11x_0)</f>
        <v>990.16000000000008</v>
      </c>
      <c r="U90" s="1"/>
      <c r="V90" s="5">
        <f t="shared" si="49"/>
        <v>7.7711591107312644E-4</v>
      </c>
      <c r="W90" s="1"/>
      <c r="X90" s="1">
        <f t="shared" si="50"/>
        <v>-388.81000000000006</v>
      </c>
      <c r="Y90" s="1"/>
      <c r="Z90" s="5">
        <f t="shared" si="51"/>
        <v>-0.39267391128706475</v>
      </c>
    </row>
    <row r="91" spans="1:26" s="24" customFormat="1" hidden="1" outlineLevel="2" x14ac:dyDescent="0.3">
      <c r="A91" s="27"/>
      <c r="B91" s="11" t="str">
        <f>CONCATENATE("          ", "6241", " - ", "OFFICE EXPENSE")</f>
        <v xml:space="preserve">          6241 - OFFICE EXPENSE</v>
      </c>
      <c r="C91" s="11"/>
      <c r="D91" s="7">
        <v>485.61</v>
      </c>
      <c r="E91" s="2"/>
      <c r="F91" s="8">
        <f t="shared" si="44"/>
        <v>4.8095882039315318E-4</v>
      </c>
      <c r="G91" s="2"/>
      <c r="H91" s="7">
        <v>197.4</v>
      </c>
      <c r="I91" s="2"/>
      <c r="J91" s="8">
        <f t="shared" si="45"/>
        <v>1.6099716325281992E-4</v>
      </c>
      <c r="K91" s="2"/>
      <c r="L91" s="7">
        <f t="shared" si="46"/>
        <v>288.21000000000004</v>
      </c>
      <c r="M91" s="2"/>
      <c r="N91" s="8">
        <f t="shared" si="47"/>
        <v>1.4600303951367783</v>
      </c>
      <c r="O91" s="11"/>
      <c r="P91" s="7">
        <v>601.35</v>
      </c>
      <c r="Q91" s="2"/>
      <c r="R91" s="8">
        <f t="shared" si="48"/>
        <v>5.6107310879175397E-4</v>
      </c>
      <c r="S91" s="2"/>
      <c r="T91" s="7">
        <v>357.06</v>
      </c>
      <c r="U91" s="2"/>
      <c r="V91" s="8">
        <f t="shared" si="49"/>
        <v>2.8023451483373448E-4</v>
      </c>
      <c r="W91" s="2"/>
      <c r="X91" s="7">
        <f t="shared" si="50"/>
        <v>244.29000000000002</v>
      </c>
      <c r="Y91" s="2"/>
      <c r="Z91" s="8">
        <f t="shared" si="51"/>
        <v>0.68417072760880526</v>
      </c>
    </row>
    <row r="92" spans="1:26" s="24" customFormat="1" hidden="1" outlineLevel="2" x14ac:dyDescent="0.3">
      <c r="A92" s="27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8">
        <f t="shared" si="44"/>
        <v>0</v>
      </c>
      <c r="G92" s="2"/>
      <c r="H92" s="7"/>
      <c r="I92" s="2"/>
      <c r="J92" s="8">
        <f t="shared" si="45"/>
        <v>0</v>
      </c>
      <c r="K92" s="2"/>
      <c r="L92" s="7">
        <f t="shared" si="46"/>
        <v>0</v>
      </c>
      <c r="M92" s="2"/>
      <c r="N92" s="8">
        <f t="shared" si="47"/>
        <v>0</v>
      </c>
      <c r="O92" s="11"/>
      <c r="P92" s="7"/>
      <c r="Q92" s="2"/>
      <c r="R92" s="8">
        <f t="shared" si="48"/>
        <v>0</v>
      </c>
      <c r="S92" s="2"/>
      <c r="T92" s="7">
        <v>633.1</v>
      </c>
      <c r="U92" s="2"/>
      <c r="V92" s="8">
        <f t="shared" si="49"/>
        <v>4.968813962393919E-4</v>
      </c>
      <c r="W92" s="2"/>
      <c r="X92" s="7">
        <f t="shared" si="50"/>
        <v>-633.1</v>
      </c>
      <c r="Y92" s="2"/>
      <c r="Z92" s="8">
        <f t="shared" si="51"/>
        <v>-1</v>
      </c>
    </row>
    <row r="93" spans="1:26" s="28" customFormat="1" outlineLevel="1" collapsed="1" x14ac:dyDescent="0.3">
      <c r="A93" s="29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SUM(OSRRefD22_12x_0)</f>
        <v>820.9</v>
      </c>
      <c r="E93" s="1"/>
      <c r="F93" s="5">
        <f t="shared" ref="F93:F95" si="52">IF(D$12=0,0,D93/D$12)</f>
        <v>8.130374079214584E-4</v>
      </c>
      <c r="G93" s="1"/>
      <c r="H93" s="1">
        <f>SUM(OSRRefH22_12x_0)</f>
        <v>472.8</v>
      </c>
      <c r="I93" s="1"/>
      <c r="J93" s="5">
        <f t="shared" ref="J93:J95" si="53">IF(H$12=0,0,H93/H$12)</f>
        <v>3.8561022687909455E-4</v>
      </c>
      <c r="K93" s="1"/>
      <c r="L93" s="1">
        <f t="shared" ref="L93:L95" si="54">+D93-H93</f>
        <v>348.09999999999997</v>
      </c>
      <c r="M93" s="1"/>
      <c r="N93" s="5">
        <f t="shared" ref="N93:N95" si="55">IF(H93=0,0,L93/H93)</f>
        <v>0.73625211505922161</v>
      </c>
      <c r="O93" s="14"/>
      <c r="P93" s="1">
        <f>SUM(OSRRefP22_12x_0)</f>
        <v>1428.3</v>
      </c>
      <c r="Q93" s="1"/>
      <c r="R93" s="5">
        <f t="shared" ref="R93:R95" si="56">IF(P$12=0,0,P93/P$12)</f>
        <v>1.3326361042442206E-3</v>
      </c>
      <c r="S93" s="1"/>
      <c r="T93" s="1">
        <f>SUM(OSRRefT22_12x_0)</f>
        <v>1233.3</v>
      </c>
      <c r="U93" s="1"/>
      <c r="V93" s="5">
        <f t="shared" ref="V93:V95" si="57">IF(T$12=0,0,T93/T$12)</f>
        <v>9.6794159845528679E-4</v>
      </c>
      <c r="W93" s="1"/>
      <c r="X93" s="1">
        <f t="shared" ref="X93:X95" si="58">+P93-T93</f>
        <v>195</v>
      </c>
      <c r="Y93" s="1"/>
      <c r="Z93" s="5">
        <f t="shared" ref="Z93:Z95" si="59">IF(T93=0,0,X93/T93)</f>
        <v>0.15811238141571393</v>
      </c>
    </row>
    <row r="94" spans="1:26" s="24" customFormat="1" hidden="1" outlineLevel="2" x14ac:dyDescent="0.3">
      <c r="A94" s="27"/>
      <c r="B94" s="11" t="str">
        <f>CONCATENATE("          ", "6303", " - ", "DATA PHONE LINES")</f>
        <v xml:space="preserve">          6303 - DATA PHONE LINES</v>
      </c>
      <c r="C94" s="11"/>
      <c r="D94" s="7"/>
      <c r="E94" s="2"/>
      <c r="F94" s="8">
        <f t="shared" si="52"/>
        <v>0</v>
      </c>
      <c r="G94" s="2"/>
      <c r="H94" s="7"/>
      <c r="I94" s="2"/>
      <c r="J94" s="8">
        <f t="shared" si="53"/>
        <v>0</v>
      </c>
      <c r="K94" s="2"/>
      <c r="L94" s="7">
        <f t="shared" si="54"/>
        <v>0</v>
      </c>
      <c r="M94" s="2"/>
      <c r="N94" s="8">
        <f t="shared" si="55"/>
        <v>0</v>
      </c>
      <c r="O94" s="11"/>
      <c r="P94" s="7">
        <v>295</v>
      </c>
      <c r="Q94" s="2"/>
      <c r="R94" s="8">
        <f t="shared" si="56"/>
        <v>2.7524165144020524E-4</v>
      </c>
      <c r="S94" s="2"/>
      <c r="T94" s="7">
        <v>295</v>
      </c>
      <c r="U94" s="2"/>
      <c r="V94" s="8">
        <f t="shared" si="57"/>
        <v>2.3152742361494332E-4</v>
      </c>
      <c r="W94" s="2"/>
      <c r="X94" s="7">
        <f t="shared" si="58"/>
        <v>0</v>
      </c>
      <c r="Y94" s="2"/>
      <c r="Z94" s="8">
        <f t="shared" si="59"/>
        <v>0</v>
      </c>
    </row>
    <row r="95" spans="1:26" s="24" customFormat="1" hidden="1" outlineLevel="2" x14ac:dyDescent="0.3">
      <c r="A95" s="27"/>
      <c r="B95" s="11" t="str">
        <f>CONCATENATE("          ", "6309", " - ", "TELEPHONE")</f>
        <v xml:space="preserve">          6309 - TELEPHONE</v>
      </c>
      <c r="C95" s="11"/>
      <c r="D95" s="7">
        <v>820.9</v>
      </c>
      <c r="E95" s="2"/>
      <c r="F95" s="8">
        <f t="shared" si="52"/>
        <v>8.130374079214584E-4</v>
      </c>
      <c r="G95" s="2"/>
      <c r="H95" s="7">
        <v>472.8</v>
      </c>
      <c r="I95" s="2"/>
      <c r="J95" s="8">
        <f t="shared" si="53"/>
        <v>3.8561022687909455E-4</v>
      </c>
      <c r="K95" s="2"/>
      <c r="L95" s="7">
        <f t="shared" si="54"/>
        <v>348.09999999999997</v>
      </c>
      <c r="M95" s="2"/>
      <c r="N95" s="8">
        <f t="shared" si="55"/>
        <v>0.73625211505922161</v>
      </c>
      <c r="O95" s="11"/>
      <c r="P95" s="7">
        <v>1133.3</v>
      </c>
      <c r="Q95" s="2"/>
      <c r="R95" s="8">
        <f t="shared" si="56"/>
        <v>1.0573944528040155E-3</v>
      </c>
      <c r="S95" s="2"/>
      <c r="T95" s="7">
        <v>938.3</v>
      </c>
      <c r="U95" s="2"/>
      <c r="V95" s="8">
        <f t="shared" si="57"/>
        <v>7.3641417484034339E-4</v>
      </c>
      <c r="W95" s="2"/>
      <c r="X95" s="7">
        <f t="shared" si="58"/>
        <v>195</v>
      </c>
      <c r="Y95" s="2"/>
      <c r="Z95" s="8">
        <f t="shared" si="59"/>
        <v>0.20782265799850794</v>
      </c>
    </row>
    <row r="96" spans="1:26" s="28" customFormat="1" outlineLevel="1" collapsed="1" x14ac:dyDescent="0.3">
      <c r="A96" s="29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SUM(OSRRefD22_13x_0)</f>
        <v>0</v>
      </c>
      <c r="E96" s="1"/>
      <c r="F96" s="5">
        <f t="shared" ref="F96:F97" si="60">IF(D$12=0,0,D96/D$12)</f>
        <v>0</v>
      </c>
      <c r="G96" s="1"/>
      <c r="H96" s="1">
        <f>SUM(OSRRefH22_13x_0)</f>
        <v>0</v>
      </c>
      <c r="I96" s="1"/>
      <c r="J96" s="5">
        <f t="shared" ref="J96:J97" si="61">IF(H$12=0,0,H96/H$12)</f>
        <v>0</v>
      </c>
      <c r="K96" s="1"/>
      <c r="L96" s="1">
        <f t="shared" ref="L96:L97" si="62">+D96-H96</f>
        <v>0</v>
      </c>
      <c r="M96" s="1"/>
      <c r="N96" s="5">
        <f t="shared" ref="N96:N97" si="63">IF(H96=0,0,L96/H96)</f>
        <v>0</v>
      </c>
      <c r="O96" s="14"/>
      <c r="P96" s="1">
        <f>SUM(OSRRefP22_13x_0)</f>
        <v>0</v>
      </c>
      <c r="Q96" s="1"/>
      <c r="R96" s="5">
        <f t="shared" ref="R96:R97" si="64">IF(P$12=0,0,P96/P$12)</f>
        <v>0</v>
      </c>
      <c r="S96" s="1"/>
      <c r="T96" s="1">
        <f>SUM(OSRRefT22_13x_0)</f>
        <v>0.16</v>
      </c>
      <c r="U96" s="1"/>
      <c r="V96" s="5">
        <f t="shared" ref="V96:V97" si="65">IF(T$12=0,0,T96/T$12)</f>
        <v>1.2557419585895232E-7</v>
      </c>
      <c r="W96" s="1"/>
      <c r="X96" s="1">
        <f t="shared" ref="X96:X97" si="66">+P96-T96</f>
        <v>-0.16</v>
      </c>
      <c r="Y96" s="1"/>
      <c r="Z96" s="5">
        <f t="shared" ref="Z96:Z97" si="67">IF(T96=0,0,X96/T96)</f>
        <v>-1</v>
      </c>
    </row>
    <row r="97" spans="1:26" s="24" customFormat="1" hidden="1" outlineLevel="2" x14ac:dyDescent="0.3">
      <c r="A97" s="27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8">
        <f t="shared" si="60"/>
        <v>0</v>
      </c>
      <c r="G97" s="2"/>
      <c r="H97" s="7"/>
      <c r="I97" s="2"/>
      <c r="J97" s="8">
        <f t="shared" si="61"/>
        <v>0</v>
      </c>
      <c r="K97" s="2"/>
      <c r="L97" s="7">
        <f t="shared" si="62"/>
        <v>0</v>
      </c>
      <c r="M97" s="2"/>
      <c r="N97" s="8">
        <f t="shared" si="63"/>
        <v>0</v>
      </c>
      <c r="O97" s="11"/>
      <c r="P97" s="7"/>
      <c r="Q97" s="2"/>
      <c r="R97" s="8">
        <f t="shared" si="64"/>
        <v>0</v>
      </c>
      <c r="S97" s="2"/>
      <c r="T97" s="7">
        <v>0.16</v>
      </c>
      <c r="U97" s="2"/>
      <c r="V97" s="8">
        <f t="shared" si="65"/>
        <v>1.2557419585895232E-7</v>
      </c>
      <c r="W97" s="2"/>
      <c r="X97" s="7">
        <f t="shared" si="66"/>
        <v>-0.16</v>
      </c>
      <c r="Y97" s="2"/>
      <c r="Z97" s="8">
        <f t="shared" si="67"/>
        <v>-1</v>
      </c>
    </row>
    <row r="98" spans="1:26" s="61" customFormat="1" x14ac:dyDescent="0.3">
      <c r="A98" s="37"/>
      <c r="B98" s="37"/>
      <c r="C98" s="37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7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3">
      <c r="A99" s="10"/>
      <c r="B99" s="26" t="s">
        <v>292</v>
      </c>
      <c r="C99" s="10"/>
      <c r="D99" s="4">
        <f>SUM(OSRRefD25x_0)</f>
        <v>28343.090000000004</v>
      </c>
      <c r="E99" s="4"/>
      <c r="F99" s="12">
        <f t="shared" ref="F99:F102" si="68">IF(D$12=0,0,D99/D$12)</f>
        <v>2.8071619473851398E-2</v>
      </c>
      <c r="G99" s="4"/>
      <c r="H99" s="4">
        <f>SUM(OSRRefH25x_0)</f>
        <v>1890.48</v>
      </c>
      <c r="I99" s="4"/>
      <c r="J99" s="12">
        <f t="shared" ref="J99:J102" si="69">IF(H$12=0,0,H99/H$12)</f>
        <v>1.5418536838206231E-3</v>
      </c>
      <c r="K99" s="4"/>
      <c r="L99" s="4">
        <f t="shared" ref="L99:L102" si="70">+D99-H99</f>
        <v>26452.610000000004</v>
      </c>
      <c r="M99" s="4"/>
      <c r="N99" s="12">
        <f t="shared" ref="N99:N102" si="71">IF(H99=0,0,L99/H99)</f>
        <v>13.992536287080531</v>
      </c>
      <c r="O99" s="10"/>
      <c r="P99" s="4">
        <f>SUM(OSRRefP25x_0)</f>
        <v>28975.03</v>
      </c>
      <c r="Q99" s="4"/>
      <c r="R99" s="12">
        <f t="shared" ref="R99:R102" si="72">IF(P$12=0,0,P99/P$12)</f>
        <v>2.7034356297388099E-2</v>
      </c>
      <c r="S99" s="4"/>
      <c r="T99" s="4">
        <f>SUM(OSRRefT25x_0)</f>
        <v>3947.41</v>
      </c>
      <c r="U99" s="4"/>
      <c r="V99" s="12">
        <f t="shared" ref="V99:V102" si="73">IF(T$12=0,0,T99/T$12)</f>
        <v>3.0980802279724183E-3</v>
      </c>
      <c r="W99" s="4"/>
      <c r="X99" s="4">
        <f t="shared" ref="X99:X102" si="74">+P99-T99</f>
        <v>25027.62</v>
      </c>
      <c r="Y99" s="4"/>
      <c r="Z99" s="12">
        <f t="shared" ref="Z99:Z102" si="75">IF(T99=0,0,X99/T99)</f>
        <v>6.3402636158899126</v>
      </c>
    </row>
    <row r="100" spans="1:26" s="24" customFormat="1" hidden="1" outlineLevel="1" x14ac:dyDescent="0.3">
      <c r="A100" s="44"/>
      <c r="B100" s="11" t="str">
        <f>CONCATENATE("          ", "9150", " - ", "MISC. INCOME")</f>
        <v xml:space="preserve">          9150 - MISC. INCOME</v>
      </c>
      <c r="C100" s="11"/>
      <c r="D100" s="2">
        <f>--15850.62</f>
        <v>15850.62</v>
      </c>
      <c r="E100" s="2"/>
      <c r="F100" s="19">
        <f t="shared" si="68"/>
        <v>1.5698802532279239E-2</v>
      </c>
      <c r="G100" s="2"/>
      <c r="H100" s="2">
        <f>--1818.48</f>
        <v>1818.48</v>
      </c>
      <c r="I100" s="2"/>
      <c r="J100" s="19">
        <f t="shared" si="69"/>
        <v>1.4831313142451266E-3</v>
      </c>
      <c r="K100" s="2"/>
      <c r="L100" s="2">
        <f t="shared" si="70"/>
        <v>14032.140000000001</v>
      </c>
      <c r="M100" s="2"/>
      <c r="N100" s="19">
        <f t="shared" si="71"/>
        <v>7.7164115085126044</v>
      </c>
      <c r="O100" s="11"/>
      <c r="P100" s="2">
        <f>--16415.64</f>
        <v>16415.64</v>
      </c>
      <c r="Q100" s="2"/>
      <c r="R100" s="19">
        <f t="shared" si="72"/>
        <v>1.5316162247619967E-2</v>
      </c>
      <c r="S100" s="2"/>
      <c r="T100" s="2">
        <f>--2401.02</f>
        <v>2401.02</v>
      </c>
      <c r="U100" s="2"/>
      <c r="V100" s="19">
        <f t="shared" si="73"/>
        <v>1.8844134733828856E-3</v>
      </c>
      <c r="W100" s="2"/>
      <c r="X100" s="2">
        <f t="shared" si="74"/>
        <v>14014.619999999999</v>
      </c>
      <c r="Y100" s="2"/>
      <c r="Z100" s="19">
        <f t="shared" si="75"/>
        <v>5.836944298673064</v>
      </c>
    </row>
    <row r="101" spans="1:26" s="24" customFormat="1" hidden="1" outlineLevel="1" x14ac:dyDescent="0.3">
      <c r="A101" s="44"/>
      <c r="B101" s="11" t="str">
        <f>CONCATENATE("          ", "9151", " - ", "MISC. INCOME")</f>
        <v xml:space="preserve">          9151 - MISC. INCOME</v>
      </c>
      <c r="C101" s="11"/>
      <c r="D101" s="2">
        <f>--11556.36</f>
        <v>11556.36</v>
      </c>
      <c r="E101" s="2"/>
      <c r="F101" s="19">
        <f t="shared" si="68"/>
        <v>1.1445673016697803E-2</v>
      </c>
      <c r="G101" s="2"/>
      <c r="H101" s="2">
        <f>0</f>
        <v>0</v>
      </c>
      <c r="I101" s="2"/>
      <c r="J101" s="19">
        <f t="shared" si="69"/>
        <v>0</v>
      </c>
      <c r="K101" s="2"/>
      <c r="L101" s="2">
        <f t="shared" si="70"/>
        <v>11556.36</v>
      </c>
      <c r="M101" s="2"/>
      <c r="N101" s="19">
        <f t="shared" si="71"/>
        <v>0</v>
      </c>
      <c r="O101" s="11"/>
      <c r="P101" s="2">
        <f>--11556.36</f>
        <v>11556.36</v>
      </c>
      <c r="Q101" s="2"/>
      <c r="R101" s="19">
        <f t="shared" si="72"/>
        <v>1.0782344444195017E-2</v>
      </c>
      <c r="S101" s="2"/>
      <c r="T101" s="2">
        <f>0</f>
        <v>0</v>
      </c>
      <c r="U101" s="2"/>
      <c r="V101" s="19">
        <f t="shared" si="73"/>
        <v>0</v>
      </c>
      <c r="W101" s="2"/>
      <c r="X101" s="2">
        <f t="shared" si="74"/>
        <v>11556.36</v>
      </c>
      <c r="Y101" s="2"/>
      <c r="Z101" s="19">
        <f t="shared" si="75"/>
        <v>0</v>
      </c>
    </row>
    <row r="102" spans="1:26" s="24" customFormat="1" hidden="1" outlineLevel="1" x14ac:dyDescent="0.3">
      <c r="A102" s="44"/>
      <c r="B102" s="11" t="str">
        <f>CONCATENATE("          ", "9152", " - ", "MISC. INCOME")</f>
        <v xml:space="preserve">          9152 - MISC. INCOME</v>
      </c>
      <c r="C102" s="11"/>
      <c r="D102" s="2">
        <f>--936.11</f>
        <v>936.11</v>
      </c>
      <c r="E102" s="2"/>
      <c r="F102" s="19">
        <f t="shared" si="68"/>
        <v>9.2714392487435306E-4</v>
      </c>
      <c r="G102" s="2"/>
      <c r="H102" s="2">
        <f>--72</f>
        <v>72</v>
      </c>
      <c r="I102" s="2"/>
      <c r="J102" s="19">
        <f t="shared" si="69"/>
        <v>5.8722369575496628E-5</v>
      </c>
      <c r="K102" s="2"/>
      <c r="L102" s="2">
        <f t="shared" si="70"/>
        <v>864.11</v>
      </c>
      <c r="M102" s="2"/>
      <c r="N102" s="19">
        <f t="shared" si="71"/>
        <v>12.001527777777778</v>
      </c>
      <c r="O102" s="11"/>
      <c r="P102" s="2">
        <f>--1003.03</f>
        <v>1003.03</v>
      </c>
      <c r="Q102" s="2"/>
      <c r="R102" s="19">
        <f t="shared" si="72"/>
        <v>9.3584960557311541E-4</v>
      </c>
      <c r="S102" s="2"/>
      <c r="T102" s="2">
        <f>--1546.39</f>
        <v>1546.39</v>
      </c>
      <c r="U102" s="2"/>
      <c r="V102" s="19">
        <f t="shared" si="73"/>
        <v>1.213666754589533E-3</v>
      </c>
      <c r="W102" s="2"/>
      <c r="X102" s="2">
        <f t="shared" si="74"/>
        <v>-543.36000000000013</v>
      </c>
      <c r="Y102" s="2"/>
      <c r="Z102" s="19">
        <f t="shared" si="75"/>
        <v>-0.35137319822295804</v>
      </c>
    </row>
    <row r="103" spans="1:26" x14ac:dyDescent="0.3">
      <c r="A103" s="9"/>
      <c r="B103" s="10"/>
      <c r="C103" s="10"/>
      <c r="D103" s="3"/>
      <c r="E103" s="3"/>
      <c r="F103" s="6"/>
      <c r="G103" s="3"/>
      <c r="H103" s="3"/>
      <c r="I103" s="3"/>
      <c r="J103" s="6"/>
      <c r="K103" s="3"/>
      <c r="L103" s="3"/>
      <c r="M103" s="3"/>
      <c r="N103" s="6"/>
      <c r="O103" s="10"/>
      <c r="P103" s="3"/>
      <c r="Q103" s="3"/>
      <c r="R103" s="6"/>
      <c r="S103" s="3"/>
      <c r="T103" s="3"/>
      <c r="U103" s="3"/>
      <c r="V103" s="6"/>
      <c r="W103" s="3"/>
      <c r="X103" s="3"/>
      <c r="Y103" s="3"/>
      <c r="Z103" s="6"/>
    </row>
    <row r="104" spans="1:26" s="23" customFormat="1" x14ac:dyDescent="0.3">
      <c r="A104" s="10"/>
      <c r="B104" s="25" t="s">
        <v>276</v>
      </c>
      <c r="C104" s="25"/>
      <c r="D104" s="20">
        <f>+D50-D52+D99</f>
        <v>182401.44000000003</v>
      </c>
      <c r="E104" s="13"/>
      <c r="F104" s="22">
        <f>IF(D$12=0,0,D104/D$12)</f>
        <v>0.18065439636830485</v>
      </c>
      <c r="G104" s="13"/>
      <c r="H104" s="20">
        <f>+H50-H52+H99</f>
        <v>287246.44000000006</v>
      </c>
      <c r="I104" s="13"/>
      <c r="J104" s="22">
        <f>IF(H$12=0,0,H104/H$12)</f>
        <v>0.23427488345730169</v>
      </c>
      <c r="K104" s="15"/>
      <c r="L104" s="20">
        <f>+D104-H104</f>
        <v>-104845.00000000003</v>
      </c>
      <c r="M104" s="15"/>
      <c r="N104" s="22">
        <f>IF(H104=0,0,L104/H104)</f>
        <v>-0.36500017197776241</v>
      </c>
      <c r="O104" s="26"/>
      <c r="P104" s="20">
        <f>+P50-P52+P99</f>
        <v>151305.71000000008</v>
      </c>
      <c r="Q104" s="13"/>
      <c r="R104" s="22">
        <f>IF(P$12=0,0,P104/P$12)</f>
        <v>0.14117163895841625</v>
      </c>
      <c r="S104" s="13"/>
      <c r="T104" s="20">
        <f>+T50-T52+T99</f>
        <v>266380.53999999963</v>
      </c>
      <c r="U104" s="13"/>
      <c r="V104" s="22">
        <f>IF(T$12=0,0,T104/T$12)</f>
        <v>0.20906576314358397</v>
      </c>
      <c r="W104" s="15"/>
      <c r="X104" s="20">
        <f>+P104-T104</f>
        <v>-115074.82999999955</v>
      </c>
      <c r="Y104" s="15"/>
      <c r="Z104" s="22">
        <f>IF(T104=0,0,X104/T104)</f>
        <v>-0.43199413140314119</v>
      </c>
    </row>
    <row r="105" spans="1:26" x14ac:dyDescent="0.3">
      <c r="A105" s="9"/>
      <c r="B105" s="10"/>
      <c r="C105" s="9"/>
      <c r="D105" s="3"/>
      <c r="E105" s="3"/>
      <c r="F105" s="6"/>
      <c r="G105" s="3"/>
      <c r="H105" s="3"/>
      <c r="I105" s="3"/>
      <c r="J105" s="6"/>
      <c r="K105" s="3"/>
      <c r="L105" s="3"/>
      <c r="M105" s="3"/>
      <c r="N105" s="6"/>
      <c r="P105" s="3"/>
      <c r="Q105" s="3"/>
      <c r="R105" s="6"/>
      <c r="S105" s="3"/>
      <c r="T105" s="3"/>
      <c r="U105" s="3"/>
      <c r="V105" s="6"/>
      <c r="W105" s="3"/>
      <c r="X105" s="3"/>
      <c r="Y105" s="3"/>
      <c r="Z105" s="6"/>
    </row>
    <row r="106" spans="1:26" s="23" customFormat="1" x14ac:dyDescent="0.3">
      <c r="A106" s="51"/>
      <c r="B106" s="10" t="s">
        <v>127</v>
      </c>
      <c r="C106" s="10"/>
      <c r="D106" s="4">
        <v>131463.37</v>
      </c>
      <c r="E106" s="4"/>
      <c r="F106" s="12">
        <f>IF(D$12=0,0,D106/D$12)</f>
        <v>0.13020421193984605</v>
      </c>
      <c r="G106" s="4"/>
      <c r="H106" s="4">
        <v>191648.45</v>
      </c>
      <c r="I106" s="4"/>
      <c r="J106" s="12">
        <f>IF(H$12=0,0,H106/H$12)</f>
        <v>0.15630626540932066</v>
      </c>
      <c r="K106" s="4"/>
      <c r="L106" s="4">
        <f>+D106-H106</f>
        <v>-60185.080000000016</v>
      </c>
      <c r="M106" s="4"/>
      <c r="N106" s="12">
        <f>IF(H106=0,0,L106/H106)</f>
        <v>-0.31403896039858403</v>
      </c>
      <c r="O106" s="10"/>
      <c r="P106" s="4">
        <v>160160.16</v>
      </c>
      <c r="Q106" s="4"/>
      <c r="R106" s="12">
        <f>IF(P$12=0,0,P106/P$12)</f>
        <v>0.14943304045195763</v>
      </c>
      <c r="S106" s="4"/>
      <c r="T106" s="4">
        <v>215122.81</v>
      </c>
      <c r="U106" s="4"/>
      <c r="V106" s="12">
        <f>IF(T$12=0,0,T106/T$12)</f>
        <v>0.16883671172917616</v>
      </c>
      <c r="W106" s="4"/>
      <c r="X106" s="4">
        <f>+P106-T106</f>
        <v>-54962.649999999994</v>
      </c>
      <c r="Y106" s="4"/>
      <c r="Z106" s="12">
        <f>IF(T106=0,0,X106/T106)</f>
        <v>-0.25549429184194833</v>
      </c>
    </row>
    <row r="107" spans="1:26" x14ac:dyDescent="0.3">
      <c r="A107" s="9"/>
      <c r="B107" s="10"/>
      <c r="C107" s="10"/>
      <c r="D107" s="3"/>
      <c r="E107" s="3"/>
      <c r="F107" s="6"/>
      <c r="G107" s="3"/>
      <c r="H107" s="3"/>
      <c r="I107" s="3"/>
      <c r="J107" s="6"/>
      <c r="K107" s="3"/>
      <c r="L107" s="3"/>
      <c r="M107" s="3"/>
      <c r="N107" s="6"/>
      <c r="O107" s="10"/>
      <c r="P107" s="3"/>
      <c r="Q107" s="3"/>
      <c r="R107" s="6"/>
      <c r="S107" s="3"/>
      <c r="T107" s="3"/>
      <c r="U107" s="3"/>
      <c r="V107" s="6"/>
      <c r="W107" s="3"/>
      <c r="X107" s="3"/>
      <c r="Y107" s="3"/>
      <c r="Z107" s="6"/>
    </row>
    <row r="108" spans="1:26" s="23" customFormat="1" ht="15" thickBot="1" x14ac:dyDescent="0.35">
      <c r="A108" s="10"/>
      <c r="B108" s="25" t="s">
        <v>125</v>
      </c>
      <c r="C108" s="25"/>
      <c r="D108" s="33">
        <f>+D104-D106</f>
        <v>50938.070000000036</v>
      </c>
      <c r="E108" s="13"/>
      <c r="F108" s="36">
        <f>IF(D$12=0,0,D108/D$12)</f>
        <v>5.0450184428458805E-2</v>
      </c>
      <c r="G108" s="13"/>
      <c r="H108" s="33">
        <f>+H104-H106</f>
        <v>95597.990000000049</v>
      </c>
      <c r="I108" s="13"/>
      <c r="J108" s="36">
        <f>IF(H$12=0,0,H108/H$12)</f>
        <v>7.7968618047981025E-2</v>
      </c>
      <c r="K108" s="15"/>
      <c r="L108" s="33">
        <f>D108-H108</f>
        <v>-44659.920000000013</v>
      </c>
      <c r="M108" s="15"/>
      <c r="N108" s="36">
        <f>IF(H108=0,0,L108/H108)</f>
        <v>-0.46716379706309713</v>
      </c>
      <c r="O108" s="26"/>
      <c r="P108" s="33">
        <f>+P104-P106</f>
        <v>-8854.4499999999243</v>
      </c>
      <c r="Q108" s="13"/>
      <c r="R108" s="36">
        <f>IF(P$12=0,0,P108/P$12)</f>
        <v>-8.2614014935413708E-3</v>
      </c>
      <c r="S108" s="13"/>
      <c r="T108" s="33">
        <f>+T104-T106</f>
        <v>51257.729999999632</v>
      </c>
      <c r="U108" s="13"/>
      <c r="V108" s="36">
        <f>IF(T$12=0,0,T108/T$12)</f>
        <v>4.0229051414407808E-2</v>
      </c>
      <c r="W108" s="15"/>
      <c r="X108" s="33">
        <f>P108-T108</f>
        <v>-60112.179999999556</v>
      </c>
      <c r="Y108" s="15"/>
      <c r="Z108" s="36">
        <f>IF(T108=0,0,X108/T108)</f>
        <v>-1.1727437012914927</v>
      </c>
    </row>
    <row r="109" spans="1:26" ht="15" thickTop="1" x14ac:dyDescent="0.3">
      <c r="A109" s="9"/>
      <c r="B109" s="9"/>
      <c r="C109" s="9"/>
      <c r="D109" s="3"/>
      <c r="E109" s="3"/>
      <c r="F109" s="6"/>
      <c r="G109" s="3"/>
      <c r="H109" s="3"/>
      <c r="I109" s="3"/>
      <c r="J109" s="6"/>
      <c r="K109" s="3"/>
      <c r="L109" s="3"/>
      <c r="M109" s="3"/>
      <c r="N109" s="6"/>
      <c r="P109" s="3"/>
      <c r="Q109" s="3"/>
      <c r="R109" s="6"/>
      <c r="S109" s="3"/>
      <c r="T109" s="3"/>
      <c r="U109" s="3"/>
      <c r="V109" s="6"/>
      <c r="W109" s="3"/>
      <c r="X109" s="3"/>
      <c r="Y109" s="3"/>
      <c r="Z109" s="6"/>
    </row>
    <row r="110" spans="1:26" x14ac:dyDescent="0.3">
      <c r="A110" s="9"/>
      <c r="B110" s="9"/>
      <c r="C110" s="9"/>
      <c r="D110" s="3"/>
      <c r="E110" s="3"/>
      <c r="F110" s="6"/>
      <c r="G110" s="3"/>
      <c r="H110" s="3"/>
      <c r="I110" s="3"/>
      <c r="J110" s="6"/>
      <c r="K110" s="3"/>
      <c r="L110" s="3"/>
      <c r="M110" s="3"/>
      <c r="N110" s="6"/>
      <c r="P110" s="3"/>
      <c r="Q110" s="3"/>
      <c r="R110" s="6"/>
      <c r="S110" s="3"/>
      <c r="T110" s="3"/>
      <c r="U110" s="3"/>
      <c r="V110" s="6"/>
      <c r="W110" s="3"/>
      <c r="X110" s="3"/>
      <c r="Y110" s="3"/>
      <c r="Z110" s="6"/>
    </row>
    <row r="111" spans="1:26" s="23" customFormat="1" ht="15" thickBot="1" x14ac:dyDescent="0.35">
      <c r="A111" s="10"/>
      <c r="B111" s="25" t="s">
        <v>293</v>
      </c>
      <c r="C111" s="25"/>
      <c r="D111" s="30">
        <f>SUM(D108:D110)</f>
        <v>50938.070000000036</v>
      </c>
      <c r="E111" s="13"/>
      <c r="F111" s="31">
        <f>IF(D$12=0,0,D111/D$12)</f>
        <v>5.0450184428458805E-2</v>
      </c>
      <c r="G111" s="13"/>
      <c r="H111" s="30">
        <f>SUM(H108:H110)</f>
        <v>95597.990000000049</v>
      </c>
      <c r="I111" s="13"/>
      <c r="J111" s="31">
        <f>IF(H$12=0,0,H111/H$12)</f>
        <v>7.7968618047981025E-2</v>
      </c>
      <c r="K111" s="15"/>
      <c r="L111" s="30">
        <f>+D111-H111</f>
        <v>-44659.920000000013</v>
      </c>
      <c r="M111" s="15"/>
      <c r="N111" s="31">
        <f>IF(H111=0,0,L111/H111)</f>
        <v>-0.46716379706309713</v>
      </c>
      <c r="O111" s="26"/>
      <c r="P111" s="30">
        <f>SUM(P108:P110)</f>
        <v>-8854.4499999999243</v>
      </c>
      <c r="Q111" s="13"/>
      <c r="R111" s="31">
        <f>IF(P$12=0,0,P111/P$12)</f>
        <v>-8.2614014935413708E-3</v>
      </c>
      <c r="S111" s="13"/>
      <c r="T111" s="30">
        <f>SUM(T108:T110)</f>
        <v>51257.729999999632</v>
      </c>
      <c r="U111" s="13"/>
      <c r="V111" s="31">
        <f>IF(T$12=0,0,T111/T$12)</f>
        <v>4.0229051414407808E-2</v>
      </c>
      <c r="W111" s="15"/>
      <c r="X111" s="30">
        <f>+P111-T111</f>
        <v>-60112.179999999556</v>
      </c>
      <c r="Y111" s="15"/>
      <c r="Z111" s="31">
        <f>IF(T111=0,0,X111/T111)</f>
        <v>-1.1727437012914927</v>
      </c>
    </row>
    <row r="112" spans="1:26" ht="15" thickTop="1" x14ac:dyDescent="0.3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3">
      <c r="A113" s="9"/>
      <c r="B113" s="59">
        <v>44470.840478275466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3">
      <c r="A114" s="9"/>
      <c r="B114" s="58" t="s">
        <v>56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3">
      <c r="A115" s="9"/>
      <c r="B115" s="52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3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","311", " - ", "Textbooks")</f>
        <v>Department 311 - Textbooks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740429.29999999993</v>
      </c>
      <c r="E12" s="4"/>
      <c r="F12" s="12"/>
      <c r="G12" s="4"/>
      <c r="H12" s="4">
        <f>SUM(OSRRefH13x_0)</f>
        <v>814061.74</v>
      </c>
      <c r="I12" s="4"/>
      <c r="J12" s="12"/>
      <c r="K12" s="4"/>
      <c r="L12" s="4">
        <f t="shared" ref="L12:L33" si="0">+D12-H12</f>
        <v>-73632.440000000061</v>
      </c>
      <c r="M12" s="4"/>
      <c r="N12" s="12">
        <f t="shared" ref="N12:N33" si="1">IF(H12=0,0,L12/H12)</f>
        <v>-9.0450682524399265E-2</v>
      </c>
      <c r="O12" s="10"/>
      <c r="P12" s="4">
        <f>SUM(OSRRefP13x_0)</f>
        <v>796630.89999999991</v>
      </c>
      <c r="Q12" s="4"/>
      <c r="R12" s="12"/>
      <c r="S12" s="4"/>
      <c r="T12" s="4">
        <f>SUM(OSRRefT13x_0)</f>
        <v>854800.66</v>
      </c>
      <c r="U12" s="4"/>
      <c r="V12" s="12"/>
      <c r="W12" s="4"/>
      <c r="X12" s="4">
        <f t="shared" ref="X12:X33" si="2">+P12-T12</f>
        <v>-58169.760000000126</v>
      </c>
      <c r="Y12" s="4"/>
      <c r="Z12" s="12">
        <f t="shared" ref="Z12:Z33" si="3">IF(T12=0,0,X12/T12)</f>
        <v>-6.8050672773228932E-2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--571304.22</f>
        <v>571304.22</v>
      </c>
      <c r="E13" s="2"/>
      <c r="F13" s="19"/>
      <c r="G13" s="2"/>
      <c r="H13" s="2">
        <f>-3258.19</f>
        <v>-3258.19</v>
      </c>
      <c r="I13" s="2"/>
      <c r="J13" s="19"/>
      <c r="K13" s="2"/>
      <c r="L13" s="2">
        <f t="shared" si="0"/>
        <v>574562.40999999992</v>
      </c>
      <c r="M13" s="2"/>
      <c r="N13" s="19">
        <f t="shared" si="1"/>
        <v>-176.34404684809661</v>
      </c>
      <c r="O13" s="11"/>
      <c r="P13" s="2">
        <f>--602229.08</f>
        <v>602229.07999999996</v>
      </c>
      <c r="Q13" s="2"/>
      <c r="R13" s="19"/>
      <c r="S13" s="2"/>
      <c r="T13" s="2">
        <f>-4028.26</f>
        <v>-4028.26</v>
      </c>
      <c r="U13" s="2"/>
      <c r="V13" s="19"/>
      <c r="W13" s="2"/>
      <c r="X13" s="2">
        <f t="shared" si="2"/>
        <v>606257.34</v>
      </c>
      <c r="Y13" s="2"/>
      <c r="Z13" s="19">
        <f t="shared" si="3"/>
        <v>-150.50104511625366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--426911.15</f>
        <v>426911.15</v>
      </c>
      <c r="I14" s="2"/>
      <c r="J14" s="19"/>
      <c r="K14" s="2"/>
      <c r="L14" s="2">
        <f t="shared" si="0"/>
        <v>-426911.15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--436946.05</f>
        <v>436946.05</v>
      </c>
      <c r="U14" s="2"/>
      <c r="V14" s="19"/>
      <c r="W14" s="2"/>
      <c r="X14" s="2">
        <f t="shared" si="2"/>
        <v>-436946.05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--149234.35</f>
        <v>149234.35</v>
      </c>
      <c r="I15" s="2"/>
      <c r="J15" s="19"/>
      <c r="K15" s="2"/>
      <c r="L15" s="2">
        <f t="shared" si="0"/>
        <v>-149234.35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--159915.3</f>
        <v>159915.29999999999</v>
      </c>
      <c r="U15" s="2"/>
      <c r="V15" s="19"/>
      <c r="W15" s="2"/>
      <c r="X15" s="2">
        <f t="shared" si="2"/>
        <v>-159915.29999999999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>--9055.84</f>
        <v>9055.84</v>
      </c>
      <c r="I16" s="2"/>
      <c r="J16" s="19"/>
      <c r="K16" s="2"/>
      <c r="L16" s="2">
        <f t="shared" si="0"/>
        <v>-9055.84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--9055.84</f>
        <v>9055.84</v>
      </c>
      <c r="U16" s="2"/>
      <c r="V16" s="19"/>
      <c r="W16" s="2"/>
      <c r="X16" s="2">
        <f t="shared" si="2"/>
        <v>-9055.84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>--1820.89</f>
        <v>1820.89</v>
      </c>
      <c r="I17" s="2"/>
      <c r="J17" s="19"/>
      <c r="K17" s="2"/>
      <c r="L17" s="2">
        <f t="shared" si="0"/>
        <v>-1820.89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--1820.89</f>
        <v>1820.89</v>
      </c>
      <c r="U17" s="2"/>
      <c r="V17" s="19"/>
      <c r="W17" s="2"/>
      <c r="X17" s="2">
        <f t="shared" si="2"/>
        <v>-1820.89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--39.9</f>
        <v>39.9</v>
      </c>
      <c r="I18" s="2"/>
      <c r="J18" s="19"/>
      <c r="K18" s="2"/>
      <c r="L18" s="2">
        <f t="shared" si="0"/>
        <v>-39.9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--39.9</f>
        <v>39.9</v>
      </c>
      <c r="U18" s="2"/>
      <c r="V18" s="19"/>
      <c r="W18" s="2"/>
      <c r="X18" s="2">
        <f t="shared" si="2"/>
        <v>-39.9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>--175.09</f>
        <v>175.09</v>
      </c>
      <c r="I19" s="2"/>
      <c r="J19" s="19"/>
      <c r="K19" s="2"/>
      <c r="L19" s="2">
        <f t="shared" si="0"/>
        <v>-175.09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--206.93</f>
        <v>206.93</v>
      </c>
      <c r="U19" s="2"/>
      <c r="V19" s="19"/>
      <c r="W19" s="2"/>
      <c r="X19" s="2">
        <f t="shared" si="2"/>
        <v>-206.93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>--118.03</f>
        <v>118.03</v>
      </c>
      <c r="I20" s="2"/>
      <c r="J20" s="19"/>
      <c r="K20" s="2"/>
      <c r="L20" s="2">
        <f t="shared" si="0"/>
        <v>-118.03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--135.02</f>
        <v>135.02000000000001</v>
      </c>
      <c r="U20" s="2"/>
      <c r="V20" s="19"/>
      <c r="W20" s="2"/>
      <c r="X20" s="2">
        <f t="shared" si="2"/>
        <v>-135.02000000000001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--196803.19</f>
        <v>196803.19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196803.19</v>
      </c>
      <c r="M21" s="2"/>
      <c r="N21" s="19">
        <f t="shared" si="1"/>
        <v>0</v>
      </c>
      <c r="O21" s="11"/>
      <c r="P21" s="2">
        <f>--223983.32</f>
        <v>223983.32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223983.32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5" si="6">0</f>
        <v>0</v>
      </c>
      <c r="E22" s="2"/>
      <c r="F22" s="19"/>
      <c r="G22" s="2"/>
      <c r="H22" s="2">
        <f>--41238.82</f>
        <v>41238.82</v>
      </c>
      <c r="I22" s="2"/>
      <c r="J22" s="19"/>
      <c r="K22" s="2"/>
      <c r="L22" s="2">
        <f t="shared" si="0"/>
        <v>-41238.82</v>
      </c>
      <c r="M22" s="2"/>
      <c r="N22" s="19">
        <f t="shared" si="1"/>
        <v>-1</v>
      </c>
      <c r="O22" s="11"/>
      <c r="P22" s="2">
        <f t="shared" ref="P22:P25" si="7">0</f>
        <v>0</v>
      </c>
      <c r="Q22" s="2"/>
      <c r="R22" s="19"/>
      <c r="S22" s="2"/>
      <c r="T22" s="2">
        <f>--51580.68</f>
        <v>51580.68</v>
      </c>
      <c r="U22" s="2"/>
      <c r="V22" s="19"/>
      <c r="W22" s="2"/>
      <c r="X22" s="2">
        <f t="shared" si="2"/>
        <v>-51580.68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6"/>
        <v>0</v>
      </c>
      <c r="E23" s="2"/>
      <c r="F23" s="19"/>
      <c r="G23" s="2"/>
      <c r="H23" s="2">
        <f>--17373.3</f>
        <v>17373.3</v>
      </c>
      <c r="I23" s="2"/>
      <c r="J23" s="19"/>
      <c r="K23" s="2"/>
      <c r="L23" s="2">
        <f t="shared" si="0"/>
        <v>-17373.3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--21563.74</f>
        <v>21563.74</v>
      </c>
      <c r="U23" s="2"/>
      <c r="V23" s="19"/>
      <c r="W23" s="2"/>
      <c r="X23" s="2">
        <f t="shared" si="2"/>
        <v>-21563.74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 t="shared" si="6"/>
        <v>0</v>
      </c>
      <c r="E24" s="2"/>
      <c r="F24" s="19"/>
      <c r="G24" s="2"/>
      <c r="H24" s="2">
        <f>--205404.66</f>
        <v>205404.66</v>
      </c>
      <c r="I24" s="2"/>
      <c r="J24" s="19"/>
      <c r="K24" s="2"/>
      <c r="L24" s="2">
        <f t="shared" si="0"/>
        <v>-205404.66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--212890.18</f>
        <v>212890.18</v>
      </c>
      <c r="U24" s="2"/>
      <c r="V24" s="19"/>
      <c r="W24" s="2"/>
      <c r="X24" s="2">
        <f t="shared" si="2"/>
        <v>-212890.18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"4118", " - ", "NON-TAXABLE SALES-STUDY GUIDES")</f>
        <v xml:space="preserve">          4118 - NON-TAXABLE SALES-STUDY GUIDES</v>
      </c>
      <c r="C25" s="11"/>
      <c r="D25" s="2">
        <f t="shared" si="6"/>
        <v>0</v>
      </c>
      <c r="E25" s="2"/>
      <c r="F25" s="19"/>
      <c r="G25" s="2"/>
      <c r="H25" s="2">
        <f>--47.87</f>
        <v>47.87</v>
      </c>
      <c r="I25" s="2"/>
      <c r="J25" s="19"/>
      <c r="K25" s="2"/>
      <c r="L25" s="2">
        <f t="shared" si="0"/>
        <v>-47.87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--101.83</f>
        <v>101.83</v>
      </c>
      <c r="U25" s="2"/>
      <c r="V25" s="19"/>
      <c r="W25" s="2"/>
      <c r="X25" s="2">
        <f t="shared" si="2"/>
        <v>-101.83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"4200", " - ", "TAXABLE RETURNS")</f>
        <v xml:space="preserve">          4200 - TAXABLE RETURNS</v>
      </c>
      <c r="C26" s="11"/>
      <c r="D26" s="2">
        <f>-11488.38</f>
        <v>-11488.38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-11488.38</v>
      </c>
      <c r="M26" s="2"/>
      <c r="N26" s="19">
        <f t="shared" si="1"/>
        <v>0</v>
      </c>
      <c r="O26" s="11"/>
      <c r="P26" s="2">
        <f>-12409.04</f>
        <v>-12409.04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-12409.04</v>
      </c>
      <c r="Y26" s="2"/>
      <c r="Z26" s="19">
        <f t="shared" si="3"/>
        <v>0</v>
      </c>
    </row>
    <row r="27" spans="1:26" s="24" customFormat="1" hidden="1" outlineLevel="1" x14ac:dyDescent="0.3">
      <c r="A27" s="44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 t="shared" ref="D27:D29" si="8">0</f>
        <v>0</v>
      </c>
      <c r="E27" s="2"/>
      <c r="F27" s="19"/>
      <c r="G27" s="2"/>
      <c r="H27" s="2">
        <f>-18222.39</f>
        <v>-18222.39</v>
      </c>
      <c r="I27" s="2"/>
      <c r="J27" s="19"/>
      <c r="K27" s="2"/>
      <c r="L27" s="2">
        <f t="shared" si="0"/>
        <v>18222.39</v>
      </c>
      <c r="M27" s="2"/>
      <c r="N27" s="19">
        <f t="shared" si="1"/>
        <v>-1</v>
      </c>
      <c r="O27" s="11"/>
      <c r="P27" s="2">
        <f t="shared" ref="P27:P29" si="9">0</f>
        <v>0</v>
      </c>
      <c r="Q27" s="2"/>
      <c r="R27" s="19"/>
      <c r="S27" s="2"/>
      <c r="T27" s="2">
        <f>-18855.79</f>
        <v>-18855.79</v>
      </c>
      <c r="U27" s="2"/>
      <c r="V27" s="19"/>
      <c r="W27" s="2"/>
      <c r="X27" s="2">
        <f t="shared" si="2"/>
        <v>18855.79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 t="shared" si="8"/>
        <v>0</v>
      </c>
      <c r="E28" s="2"/>
      <c r="F28" s="19"/>
      <c r="G28" s="2"/>
      <c r="H28" s="2">
        <f>-8869.4</f>
        <v>-8869.4</v>
      </c>
      <c r="I28" s="2"/>
      <c r="J28" s="19"/>
      <c r="K28" s="2"/>
      <c r="L28" s="2">
        <f t="shared" si="0"/>
        <v>8869.4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-9047.75</f>
        <v>-9047.75</v>
      </c>
      <c r="U28" s="2"/>
      <c r="V28" s="19"/>
      <c r="W28" s="2"/>
      <c r="X28" s="2">
        <f t="shared" si="2"/>
        <v>9047.75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 t="shared" si="8"/>
        <v>0</v>
      </c>
      <c r="E29" s="2"/>
      <c r="F29" s="19"/>
      <c r="G29" s="2"/>
      <c r="H29" s="2">
        <f>-1141.08</f>
        <v>-1141.08</v>
      </c>
      <c r="I29" s="2"/>
      <c r="J29" s="19"/>
      <c r="K29" s="2"/>
      <c r="L29" s="2">
        <f t="shared" si="0"/>
        <v>1141.08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-1141.08</f>
        <v>-1141.08</v>
      </c>
      <c r="U29" s="2"/>
      <c r="V29" s="19"/>
      <c r="W29" s="2"/>
      <c r="X29" s="2">
        <f t="shared" si="2"/>
        <v>1141.08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"4300", " - ", "NON-TAX RETURNS")</f>
        <v xml:space="preserve">          4300 - NON-TAX RETURNS</v>
      </c>
      <c r="C30" s="11"/>
      <c r="D30" s="2">
        <f>-16189.73</f>
        <v>-16189.73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-16189.73</v>
      </c>
      <c r="M30" s="2"/>
      <c r="N30" s="19">
        <f t="shared" si="1"/>
        <v>0</v>
      </c>
      <c r="O30" s="11"/>
      <c r="P30" s="2">
        <f>-17172.46</f>
        <v>-17172.46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-17172.46</v>
      </c>
      <c r="Y30" s="2"/>
      <c r="Z30" s="19">
        <f t="shared" si="3"/>
        <v>0</v>
      </c>
    </row>
    <row r="31" spans="1:26" s="24" customFormat="1" hidden="1" outlineLevel="1" x14ac:dyDescent="0.3">
      <c r="A31" s="44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 t="shared" ref="D31:D33" si="10">0</f>
        <v>0</v>
      </c>
      <c r="E31" s="2"/>
      <c r="F31" s="19"/>
      <c r="G31" s="2"/>
      <c r="H31" s="2">
        <f>-20.25</f>
        <v>-20.25</v>
      </c>
      <c r="I31" s="2"/>
      <c r="J31" s="19"/>
      <c r="K31" s="2"/>
      <c r="L31" s="2">
        <f t="shared" si="0"/>
        <v>20.25</v>
      </c>
      <c r="M31" s="2"/>
      <c r="N31" s="19">
        <f t="shared" si="1"/>
        <v>-1</v>
      </c>
      <c r="O31" s="11"/>
      <c r="P31" s="2">
        <f t="shared" ref="P31:P33" si="11">0</f>
        <v>0</v>
      </c>
      <c r="Q31" s="2"/>
      <c r="R31" s="19"/>
      <c r="S31" s="2"/>
      <c r="T31" s="2">
        <f>-20.25</f>
        <v>-20.25</v>
      </c>
      <c r="U31" s="2"/>
      <c r="V31" s="19"/>
      <c r="W31" s="2"/>
      <c r="X31" s="2">
        <f t="shared" si="2"/>
        <v>20.25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 t="shared" si="10"/>
        <v>0</v>
      </c>
      <c r="E32" s="2"/>
      <c r="F32" s="19"/>
      <c r="G32" s="2"/>
      <c r="H32" s="2">
        <f>-346.17</f>
        <v>-346.17</v>
      </c>
      <c r="I32" s="2"/>
      <c r="J32" s="19"/>
      <c r="K32" s="2"/>
      <c r="L32" s="2">
        <f t="shared" si="0"/>
        <v>346.17</v>
      </c>
      <c r="M32" s="2"/>
      <c r="N32" s="19">
        <f t="shared" si="1"/>
        <v>-1</v>
      </c>
      <c r="O32" s="11"/>
      <c r="P32" s="2">
        <f t="shared" si="11"/>
        <v>0</v>
      </c>
      <c r="Q32" s="2"/>
      <c r="R32" s="19"/>
      <c r="S32" s="2"/>
      <c r="T32" s="2">
        <f>-409.84</f>
        <v>-409.84</v>
      </c>
      <c r="U32" s="2"/>
      <c r="V32" s="19"/>
      <c r="W32" s="2"/>
      <c r="X32" s="2">
        <f t="shared" si="2"/>
        <v>409.84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 t="shared" si="10"/>
        <v>0</v>
      </c>
      <c r="E33" s="2"/>
      <c r="F33" s="19"/>
      <c r="G33" s="2"/>
      <c r="H33" s="2">
        <f>-5500.68</f>
        <v>-5500.68</v>
      </c>
      <c r="I33" s="2"/>
      <c r="J33" s="19"/>
      <c r="K33" s="2"/>
      <c r="L33" s="2">
        <f t="shared" si="0"/>
        <v>5500.68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-5952.73</f>
        <v>-5952.73</v>
      </c>
      <c r="U33" s="2"/>
      <c r="V33" s="19"/>
      <c r="W33" s="2"/>
      <c r="X33" s="2">
        <f t="shared" si="2"/>
        <v>5952.73</v>
      </c>
      <c r="Y33" s="2"/>
      <c r="Z33" s="19">
        <f t="shared" si="3"/>
        <v>-1</v>
      </c>
    </row>
    <row r="34" spans="1:26" x14ac:dyDescent="0.3">
      <c r="A34" s="9"/>
      <c r="B34" s="10"/>
      <c r="C34" s="9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599500.85</v>
      </c>
      <c r="E35" s="4"/>
      <c r="F35" s="12">
        <f t="shared" ref="F35:F48" si="12">IF(D$12=0,0,D35/D$12)</f>
        <v>0.80966656776008195</v>
      </c>
      <c r="G35" s="4"/>
      <c r="H35" s="4">
        <f>SUM(OSRRefH16x_0)</f>
        <v>581368.00000000012</v>
      </c>
      <c r="I35" s="4"/>
      <c r="J35" s="12">
        <f t="shared" ref="J35:J48" si="13">IF(H$12=0,0,H35/H$12)</f>
        <v>0.71415713505955969</v>
      </c>
      <c r="K35" s="4"/>
      <c r="L35" s="4">
        <f t="shared" ref="L35:L48" si="14">+D35-H35</f>
        <v>18132.84999999986</v>
      </c>
      <c r="M35" s="4"/>
      <c r="N35" s="12">
        <f t="shared" ref="N35:N48" si="15">IF(H35=0,0,L35/H35)</f>
        <v>3.1189969176149801E-2</v>
      </c>
      <c r="O35" s="10"/>
      <c r="P35" s="4">
        <f>SUM(OSRRefP16x_0)</f>
        <v>642192.56999999983</v>
      </c>
      <c r="Q35" s="4"/>
      <c r="R35" s="12">
        <f t="shared" ref="R35:R48" si="16">IF(P$12=0,0,P35/P$12)</f>
        <v>0.80613565203157433</v>
      </c>
      <c r="S35" s="4"/>
      <c r="T35" s="4">
        <f>SUM(OSRRefT16x_0)</f>
        <v>607456.00000000012</v>
      </c>
      <c r="U35" s="4"/>
      <c r="V35" s="12">
        <f t="shared" ref="V35:V48" si="17">IF(T$12=0,0,T35/T$12)</f>
        <v>0.7106405369410923</v>
      </c>
      <c r="W35" s="4"/>
      <c r="X35" s="4">
        <f t="shared" ref="X35:X48" si="18">+P35-T35</f>
        <v>34736.569999999716</v>
      </c>
      <c r="Y35" s="4"/>
      <c r="Z35" s="12">
        <f t="shared" ref="Z35:Z48" si="19">IF(T35=0,0,X35/T35)</f>
        <v>5.7183680793340935E-2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219833.04</v>
      </c>
      <c r="E36" s="2"/>
      <c r="F36" s="19">
        <f t="shared" si="12"/>
        <v>0.29689943388247875</v>
      </c>
      <c r="G36" s="2"/>
      <c r="H36" s="2"/>
      <c r="I36" s="2"/>
      <c r="J36" s="19">
        <f t="shared" si="13"/>
        <v>0</v>
      </c>
      <c r="K36" s="2"/>
      <c r="L36" s="2">
        <f t="shared" si="14"/>
        <v>219833.04</v>
      </c>
      <c r="M36" s="2"/>
      <c r="N36" s="19">
        <f t="shared" si="15"/>
        <v>0</v>
      </c>
      <c r="O36" s="11"/>
      <c r="P36" s="2">
        <v>482041.05</v>
      </c>
      <c r="Q36" s="2"/>
      <c r="R36" s="19">
        <f t="shared" si="16"/>
        <v>0.60509961388643108</v>
      </c>
      <c r="S36" s="2"/>
      <c r="T36" s="2"/>
      <c r="U36" s="2"/>
      <c r="V36" s="19">
        <f t="shared" si="17"/>
        <v>0</v>
      </c>
      <c r="W36" s="2"/>
      <c r="X36" s="2">
        <f t="shared" si="18"/>
        <v>482041.05</v>
      </c>
      <c r="Y36" s="2"/>
      <c r="Z36" s="19">
        <f t="shared" si="19"/>
        <v>0</v>
      </c>
    </row>
    <row r="37" spans="1:26" s="24" customFormat="1" hidden="1" outlineLevel="1" x14ac:dyDescent="0.3">
      <c r="A37" s="44"/>
      <c r="B37" s="11" t="str">
        <f>CONCATENATE("          ", "5001", " - ", "PURCHASES @ COST-NEW TEXT")</f>
        <v xml:space="preserve">          5001 - PURCHASES @ COST-NEW TEXT</v>
      </c>
      <c r="C37" s="11"/>
      <c r="D37" s="2">
        <v>0</v>
      </c>
      <c r="E37" s="2"/>
      <c r="F37" s="19">
        <f t="shared" si="12"/>
        <v>0</v>
      </c>
      <c r="G37" s="2"/>
      <c r="H37" s="2">
        <v>363486.5</v>
      </c>
      <c r="I37" s="2"/>
      <c r="J37" s="19">
        <f t="shared" si="13"/>
        <v>0.44650974507166985</v>
      </c>
      <c r="K37" s="2"/>
      <c r="L37" s="2">
        <f t="shared" si="14"/>
        <v>-363486.5</v>
      </c>
      <c r="M37" s="2"/>
      <c r="N37" s="19">
        <f t="shared" si="15"/>
        <v>-1</v>
      </c>
      <c r="O37" s="11"/>
      <c r="P37" s="2">
        <v>0</v>
      </c>
      <c r="Q37" s="2"/>
      <c r="R37" s="19">
        <f t="shared" si="16"/>
        <v>0</v>
      </c>
      <c r="S37" s="2"/>
      <c r="T37" s="2">
        <v>514943.91</v>
      </c>
      <c r="U37" s="2"/>
      <c r="V37" s="19">
        <f t="shared" si="17"/>
        <v>0.60241402948846567</v>
      </c>
      <c r="W37" s="2"/>
      <c r="X37" s="2">
        <f t="shared" si="18"/>
        <v>-514943.91</v>
      </c>
      <c r="Y37" s="2"/>
      <c r="Z37" s="19">
        <f t="shared" si="19"/>
        <v>-1</v>
      </c>
    </row>
    <row r="38" spans="1:26" s="24" customFormat="1" hidden="1" outlineLevel="1" x14ac:dyDescent="0.3">
      <c r="A38" s="44"/>
      <c r="B38" s="11" t="str">
        <f>CONCATENATE("          ", "5002", " - ", "PURCHASES @ COST-USED TEXT")</f>
        <v xml:space="preserve">          5002 - PURCHASES @ COST-USED TEXT</v>
      </c>
      <c r="C38" s="11"/>
      <c r="D38" s="2">
        <v>0</v>
      </c>
      <c r="E38" s="2"/>
      <c r="F38" s="19">
        <f t="shared" si="12"/>
        <v>0</v>
      </c>
      <c r="G38" s="2"/>
      <c r="H38" s="2">
        <v>-8215.75</v>
      </c>
      <c r="I38" s="2"/>
      <c r="J38" s="19">
        <f t="shared" si="13"/>
        <v>-1.0092293491154614E-2</v>
      </c>
      <c r="K38" s="2"/>
      <c r="L38" s="2">
        <f t="shared" si="14"/>
        <v>8215.75</v>
      </c>
      <c r="M38" s="2"/>
      <c r="N38" s="19">
        <f t="shared" si="15"/>
        <v>-1</v>
      </c>
      <c r="O38" s="11"/>
      <c r="P38" s="2">
        <v>0</v>
      </c>
      <c r="Q38" s="2"/>
      <c r="R38" s="19">
        <f t="shared" si="16"/>
        <v>0</v>
      </c>
      <c r="S38" s="2"/>
      <c r="T38" s="2">
        <v>49033.04</v>
      </c>
      <c r="U38" s="2"/>
      <c r="V38" s="19">
        <f t="shared" si="17"/>
        <v>5.7361958517907555E-2</v>
      </c>
      <c r="W38" s="2"/>
      <c r="X38" s="2">
        <f t="shared" si="18"/>
        <v>-49033.04</v>
      </c>
      <c r="Y38" s="2"/>
      <c r="Z38" s="19">
        <f t="shared" si="19"/>
        <v>-1</v>
      </c>
    </row>
    <row r="39" spans="1:26" s="24" customFormat="1" hidden="1" outlineLevel="1" x14ac:dyDescent="0.3">
      <c r="A39" s="44"/>
      <c r="B39" s="11" t="str">
        <f>CONCATENATE("          ", "5003", " - ", "PURCHASES @ COST-RENTAL TEXT")</f>
        <v xml:space="preserve">          5003 - PURCHASES @ COST-RENTAL TEXT</v>
      </c>
      <c r="C39" s="11"/>
      <c r="D39" s="2"/>
      <c r="E39" s="2"/>
      <c r="F39" s="19">
        <f t="shared" si="12"/>
        <v>0</v>
      </c>
      <c r="G39" s="2"/>
      <c r="H39" s="2">
        <v>58.8</v>
      </c>
      <c r="I39" s="2"/>
      <c r="J39" s="19">
        <f t="shared" si="13"/>
        <v>7.2230393729104622E-5</v>
      </c>
      <c r="K39" s="2"/>
      <c r="L39" s="2">
        <f t="shared" si="14"/>
        <v>-58.8</v>
      </c>
      <c r="M39" s="2"/>
      <c r="N39" s="19">
        <f t="shared" si="15"/>
        <v>-1</v>
      </c>
      <c r="O39" s="11"/>
      <c r="P39" s="2"/>
      <c r="Q39" s="2"/>
      <c r="R39" s="19">
        <f t="shared" si="16"/>
        <v>0</v>
      </c>
      <c r="S39" s="2"/>
      <c r="T39" s="2">
        <v>-11867.84</v>
      </c>
      <c r="U39" s="2"/>
      <c r="V39" s="19">
        <f t="shared" si="17"/>
        <v>-1.3883751563785643E-2</v>
      </c>
      <c r="W39" s="2"/>
      <c r="X39" s="2">
        <f t="shared" si="18"/>
        <v>11867.84</v>
      </c>
      <c r="Y39" s="2"/>
      <c r="Z39" s="19">
        <f t="shared" si="19"/>
        <v>-1</v>
      </c>
    </row>
    <row r="40" spans="1:26" s="24" customFormat="1" hidden="1" outlineLevel="1" x14ac:dyDescent="0.3">
      <c r="A40" s="44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0</v>
      </c>
      <c r="E40" s="2"/>
      <c r="F40" s="19">
        <f t="shared" si="12"/>
        <v>0</v>
      </c>
      <c r="G40" s="2"/>
      <c r="H40" s="2">
        <v>117504.49</v>
      </c>
      <c r="I40" s="2"/>
      <c r="J40" s="19">
        <f t="shared" si="13"/>
        <v>0.14434346220472172</v>
      </c>
      <c r="K40" s="2"/>
      <c r="L40" s="2">
        <f t="shared" si="14"/>
        <v>-117504.49</v>
      </c>
      <c r="M40" s="2"/>
      <c r="N40" s="19">
        <f t="shared" si="15"/>
        <v>-1</v>
      </c>
      <c r="O40" s="11"/>
      <c r="P40" s="2">
        <v>0</v>
      </c>
      <c r="Q40" s="2"/>
      <c r="R40" s="19">
        <f t="shared" si="16"/>
        <v>0</v>
      </c>
      <c r="S40" s="2"/>
      <c r="T40" s="2">
        <v>122429.97</v>
      </c>
      <c r="U40" s="2"/>
      <c r="V40" s="19">
        <f t="shared" si="17"/>
        <v>0.14322634004517498</v>
      </c>
      <c r="W40" s="2"/>
      <c r="X40" s="2">
        <f t="shared" si="18"/>
        <v>-122429.97</v>
      </c>
      <c r="Y40" s="2"/>
      <c r="Z40" s="19">
        <f t="shared" si="19"/>
        <v>-1</v>
      </c>
    </row>
    <row r="41" spans="1:26" s="24" customFormat="1" hidden="1" outlineLevel="1" x14ac:dyDescent="0.3">
      <c r="A41" s="44"/>
      <c r="B41" s="11" t="str">
        <f>CONCATENATE("          ", "5013", " - ", "PURCHASES @ COST-TRADE BOOKS")</f>
        <v xml:space="preserve">          5013 - PURCHASES @ COST-TRADE BOOKS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108.54</v>
      </c>
      <c r="U41" s="2"/>
      <c r="V41" s="19">
        <f t="shared" si="17"/>
        <v>1.2697697261955789E-4</v>
      </c>
      <c r="W41" s="2"/>
      <c r="X41" s="2">
        <f t="shared" si="18"/>
        <v>-108.54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"5014", " - ", "PURCHASES @ COST-REMAINDERS")</f>
        <v xml:space="preserve">          5014 - PURCHASES @ COST-REMAINDERS</v>
      </c>
      <c r="C42" s="11"/>
      <c r="D42" s="2"/>
      <c r="E42" s="2"/>
      <c r="F42" s="19">
        <f t="shared" si="12"/>
        <v>0</v>
      </c>
      <c r="G42" s="2"/>
      <c r="H42" s="2"/>
      <c r="I42" s="2"/>
      <c r="J42" s="19">
        <f t="shared" si="13"/>
        <v>0</v>
      </c>
      <c r="K42" s="2"/>
      <c r="L42" s="2">
        <f t="shared" si="14"/>
        <v>0</v>
      </c>
      <c r="M42" s="2"/>
      <c r="N42" s="19">
        <f t="shared" si="15"/>
        <v>0</v>
      </c>
      <c r="O42" s="11"/>
      <c r="P42" s="2"/>
      <c r="Q42" s="2"/>
      <c r="R42" s="19">
        <f t="shared" si="16"/>
        <v>0</v>
      </c>
      <c r="S42" s="2"/>
      <c r="T42" s="2">
        <v>-12.51</v>
      </c>
      <c r="U42" s="2"/>
      <c r="V42" s="19">
        <f t="shared" si="17"/>
        <v>-1.463499103989929E-5</v>
      </c>
      <c r="W42" s="2"/>
      <c r="X42" s="2">
        <f t="shared" si="18"/>
        <v>12.51</v>
      </c>
      <c r="Y42" s="2"/>
      <c r="Z42" s="19">
        <f t="shared" si="19"/>
        <v>-1</v>
      </c>
    </row>
    <row r="43" spans="1:26" s="24" customFormat="1" hidden="1" outlineLevel="1" x14ac:dyDescent="0.3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-223271.06</v>
      </c>
      <c r="E43" s="2"/>
      <c r="F43" s="19">
        <f t="shared" si="12"/>
        <v>-0.30154271312602027</v>
      </c>
      <c r="G43" s="2"/>
      <c r="H43" s="2">
        <v>-478701.26</v>
      </c>
      <c r="I43" s="2"/>
      <c r="J43" s="19">
        <f t="shared" si="13"/>
        <v>-0.58804048449691304</v>
      </c>
      <c r="K43" s="2"/>
      <c r="L43" s="2">
        <f t="shared" si="14"/>
        <v>255430.2</v>
      </c>
      <c r="M43" s="2"/>
      <c r="N43" s="19">
        <f t="shared" si="15"/>
        <v>-0.53358998887949449</v>
      </c>
      <c r="O43" s="11"/>
      <c r="P43" s="2">
        <v>-487662.78</v>
      </c>
      <c r="Q43" s="2"/>
      <c r="R43" s="19">
        <f t="shared" si="16"/>
        <v>-0.61215649556149543</v>
      </c>
      <c r="S43" s="2"/>
      <c r="T43" s="2">
        <v>-681352.94</v>
      </c>
      <c r="U43" s="2"/>
      <c r="V43" s="19">
        <f t="shared" si="17"/>
        <v>-0.79708986186323239</v>
      </c>
      <c r="W43" s="2"/>
      <c r="X43" s="2">
        <f t="shared" si="18"/>
        <v>193690.15999999992</v>
      </c>
      <c r="Y43" s="2"/>
      <c r="Z43" s="19">
        <f t="shared" si="19"/>
        <v>-0.284272876257054</v>
      </c>
    </row>
    <row r="44" spans="1:26" s="24" customFormat="1" hidden="1" outlineLevel="1" x14ac:dyDescent="0.3">
      <c r="A44" s="44"/>
      <c r="B44" s="11" t="str">
        <f>CONCATENATE("          ", "5300", " - ", "COG$ OFFSET")</f>
        <v xml:space="preserve">          5300 - COG$ OFFSET</v>
      </c>
      <c r="C44" s="11"/>
      <c r="D44" s="2">
        <v>599500.85</v>
      </c>
      <c r="E44" s="2"/>
      <c r="F44" s="19">
        <f t="shared" si="12"/>
        <v>0.80966656776008195</v>
      </c>
      <c r="G44" s="2"/>
      <c r="H44" s="2">
        <v>581368</v>
      </c>
      <c r="I44" s="2"/>
      <c r="J44" s="19">
        <f t="shared" si="13"/>
        <v>0.71415713505955947</v>
      </c>
      <c r="K44" s="2"/>
      <c r="L44" s="2">
        <f t="shared" si="14"/>
        <v>18132.849999999977</v>
      </c>
      <c r="M44" s="2"/>
      <c r="N44" s="19">
        <f t="shared" si="15"/>
        <v>3.1189969176150006E-2</v>
      </c>
      <c r="O44" s="11"/>
      <c r="P44" s="2">
        <v>642192.56999999995</v>
      </c>
      <c r="Q44" s="2"/>
      <c r="R44" s="19">
        <f t="shared" si="16"/>
        <v>0.80613565203157456</v>
      </c>
      <c r="S44" s="2"/>
      <c r="T44" s="2">
        <v>607456</v>
      </c>
      <c r="U44" s="2"/>
      <c r="V44" s="19">
        <f t="shared" si="17"/>
        <v>0.71064053694109219</v>
      </c>
      <c r="W44" s="2"/>
      <c r="X44" s="2">
        <f t="shared" si="18"/>
        <v>34736.569999999949</v>
      </c>
      <c r="Y44" s="2"/>
      <c r="Z44" s="19">
        <f t="shared" si="19"/>
        <v>5.7183680793341324E-2</v>
      </c>
    </row>
    <row r="45" spans="1:26" s="24" customFormat="1" hidden="1" outlineLevel="1" x14ac:dyDescent="0.3">
      <c r="A45" s="44"/>
      <c r="B45" s="11" t="str">
        <f>CONCATENATE("          ", "5500", " - ", "FREIGHT-IN")</f>
        <v xml:space="preserve">          5500 - FREIGHT-IN</v>
      </c>
      <c r="C45" s="11"/>
      <c r="D45" s="2">
        <v>3438.02</v>
      </c>
      <c r="E45" s="2"/>
      <c r="F45" s="19">
        <f t="shared" si="12"/>
        <v>4.6432792435415517E-3</v>
      </c>
      <c r="G45" s="2"/>
      <c r="H45" s="2">
        <v>0</v>
      </c>
      <c r="I45" s="2"/>
      <c r="J45" s="19">
        <f t="shared" si="13"/>
        <v>0</v>
      </c>
      <c r="K45" s="2"/>
      <c r="L45" s="2">
        <f t="shared" si="14"/>
        <v>3438.02</v>
      </c>
      <c r="M45" s="2"/>
      <c r="N45" s="19">
        <f t="shared" si="15"/>
        <v>0</v>
      </c>
      <c r="O45" s="11"/>
      <c r="P45" s="2">
        <v>5621.73</v>
      </c>
      <c r="Q45" s="2"/>
      <c r="R45" s="19">
        <f t="shared" si="16"/>
        <v>7.056881675064324E-3</v>
      </c>
      <c r="S45" s="2"/>
      <c r="T45" s="2">
        <v>0</v>
      </c>
      <c r="U45" s="2"/>
      <c r="V45" s="19">
        <f t="shared" si="17"/>
        <v>0</v>
      </c>
      <c r="W45" s="2"/>
      <c r="X45" s="2">
        <f t="shared" si="18"/>
        <v>5621.73</v>
      </c>
      <c r="Y45" s="2"/>
      <c r="Z45" s="19">
        <f t="shared" si="19"/>
        <v>0</v>
      </c>
    </row>
    <row r="46" spans="1:26" s="24" customFormat="1" hidden="1" outlineLevel="1" x14ac:dyDescent="0.3">
      <c r="A46" s="44"/>
      <c r="B46" s="11" t="str">
        <f>CONCATENATE("          ", "5501", " - ", "FREIGHT-IN-NEW TEXT")</f>
        <v xml:space="preserve">          5501 - FREIGHT-IN-NEW TEXT</v>
      </c>
      <c r="C46" s="11"/>
      <c r="D46" s="2">
        <v>0</v>
      </c>
      <c r="E46" s="2"/>
      <c r="F46" s="19">
        <f t="shared" si="12"/>
        <v>0</v>
      </c>
      <c r="G46" s="2"/>
      <c r="H46" s="2">
        <v>4680.5600000000004</v>
      </c>
      <c r="I46" s="2"/>
      <c r="J46" s="19">
        <f t="shared" si="13"/>
        <v>5.7496376134812581E-3</v>
      </c>
      <c r="K46" s="2"/>
      <c r="L46" s="2">
        <f t="shared" si="14"/>
        <v>-4680.5600000000004</v>
      </c>
      <c r="M46" s="2"/>
      <c r="N46" s="19">
        <f t="shared" si="15"/>
        <v>-1</v>
      </c>
      <c r="O46" s="11"/>
      <c r="P46" s="2">
        <v>0</v>
      </c>
      <c r="Q46" s="2"/>
      <c r="R46" s="19">
        <f t="shared" si="16"/>
        <v>0</v>
      </c>
      <c r="S46" s="2"/>
      <c r="T46" s="2">
        <v>5483.28</v>
      </c>
      <c r="U46" s="2"/>
      <c r="V46" s="19">
        <f t="shared" si="17"/>
        <v>6.4146885427065524E-3</v>
      </c>
      <c r="W46" s="2"/>
      <c r="X46" s="2">
        <f t="shared" si="18"/>
        <v>-5483.28</v>
      </c>
      <c r="Y46" s="2"/>
      <c r="Z46" s="19">
        <f t="shared" si="19"/>
        <v>-1</v>
      </c>
    </row>
    <row r="47" spans="1:26" s="24" customFormat="1" hidden="1" outlineLevel="1" x14ac:dyDescent="0.3">
      <c r="A47" s="44"/>
      <c r="B47" s="11" t="str">
        <f>CONCATENATE("          ", "5502", " - ", "FREIGHT-IN-USED TEXT")</f>
        <v xml:space="preserve">          5502 - FREIGHT-IN-USED TEXT</v>
      </c>
      <c r="C47" s="11"/>
      <c r="D47" s="2">
        <v>0</v>
      </c>
      <c r="E47" s="2"/>
      <c r="F47" s="19">
        <f t="shared" si="12"/>
        <v>0</v>
      </c>
      <c r="G47" s="2"/>
      <c r="H47" s="2">
        <v>1186.6600000000001</v>
      </c>
      <c r="I47" s="2"/>
      <c r="J47" s="19">
        <f t="shared" si="13"/>
        <v>1.4577027044656344E-3</v>
      </c>
      <c r="K47" s="2"/>
      <c r="L47" s="2">
        <f t="shared" si="14"/>
        <v>-1186.6600000000001</v>
      </c>
      <c r="M47" s="2"/>
      <c r="N47" s="19">
        <f t="shared" si="15"/>
        <v>-1</v>
      </c>
      <c r="O47" s="11"/>
      <c r="P47" s="2">
        <v>0</v>
      </c>
      <c r="Q47" s="2"/>
      <c r="R47" s="19">
        <f t="shared" si="16"/>
        <v>0</v>
      </c>
      <c r="S47" s="2"/>
      <c r="T47" s="2">
        <v>1234.55</v>
      </c>
      <c r="U47" s="2"/>
      <c r="V47" s="19">
        <f t="shared" si="17"/>
        <v>1.4442548511836666E-3</v>
      </c>
      <c r="W47" s="2"/>
      <c r="X47" s="2">
        <f t="shared" si="18"/>
        <v>-1234.55</v>
      </c>
      <c r="Y47" s="2"/>
      <c r="Z47" s="19">
        <f t="shared" si="19"/>
        <v>-1</v>
      </c>
    </row>
    <row r="48" spans="1:26" s="24" customFormat="1" hidden="1" outlineLevel="1" x14ac:dyDescent="0.3">
      <c r="A48" s="44"/>
      <c r="B48" s="11" t="str">
        <f>CONCATENATE("          ", "5518", " - ", "FREIGHT-IN-STUDY GUIDES")</f>
        <v xml:space="preserve">          5518 - FREIGHT-IN-STUDY GUIDES</v>
      </c>
      <c r="C48" s="11"/>
      <c r="D48" s="2"/>
      <c r="E48" s="2"/>
      <c r="F48" s="19">
        <f t="shared" si="12"/>
        <v>0</v>
      </c>
      <c r="G48" s="2"/>
      <c r="H48" s="2"/>
      <c r="I48" s="2"/>
      <c r="J48" s="19">
        <f t="shared" si="13"/>
        <v>0</v>
      </c>
      <c r="K48" s="2"/>
      <c r="L48" s="2">
        <f t="shared" si="14"/>
        <v>0</v>
      </c>
      <c r="M48" s="2"/>
      <c r="N48" s="19">
        <f t="shared" si="15"/>
        <v>0</v>
      </c>
      <c r="O48" s="11"/>
      <c r="P48" s="2">
        <v>0</v>
      </c>
      <c r="Q48" s="2"/>
      <c r="R48" s="19">
        <f t="shared" si="16"/>
        <v>0</v>
      </c>
      <c r="S48" s="2"/>
      <c r="T48" s="2"/>
      <c r="U48" s="2"/>
      <c r="V48" s="19">
        <f t="shared" si="17"/>
        <v>0</v>
      </c>
      <c r="W48" s="2"/>
      <c r="X48" s="2">
        <f t="shared" si="18"/>
        <v>0</v>
      </c>
      <c r="Y48" s="2"/>
      <c r="Z48" s="19">
        <f t="shared" si="19"/>
        <v>0</v>
      </c>
    </row>
    <row r="49" spans="1:26" x14ac:dyDescent="0.3">
      <c r="A49" s="9"/>
      <c r="B49" s="10"/>
      <c r="C49" s="10"/>
      <c r="D49" s="3"/>
      <c r="E49" s="3"/>
      <c r="F49" s="6"/>
      <c r="G49" s="3"/>
      <c r="H49" s="3"/>
      <c r="I49" s="3"/>
      <c r="J49" s="6"/>
      <c r="K49" s="3"/>
      <c r="L49" s="3"/>
      <c r="M49" s="3"/>
      <c r="N49" s="6"/>
      <c r="O49" s="10"/>
      <c r="P49" s="3"/>
      <c r="Q49" s="3"/>
      <c r="R49" s="6"/>
      <c r="S49" s="3"/>
      <c r="T49" s="3"/>
      <c r="U49" s="3"/>
      <c r="V49" s="6"/>
      <c r="W49" s="3"/>
      <c r="X49" s="3"/>
      <c r="Y49" s="3"/>
      <c r="Z49" s="6"/>
    </row>
    <row r="50" spans="1:26" s="23" customFormat="1" x14ac:dyDescent="0.3">
      <c r="A50" s="10"/>
      <c r="B50" s="25" t="s">
        <v>107</v>
      </c>
      <c r="C50" s="25"/>
      <c r="D50" s="20">
        <f>D12-D35</f>
        <v>140928.44999999995</v>
      </c>
      <c r="E50" s="13"/>
      <c r="F50" s="22">
        <f>IF(D$12=0,0,D50/D$12)</f>
        <v>0.19033343223991805</v>
      </c>
      <c r="G50" s="13"/>
      <c r="H50" s="20">
        <f>H12-H35</f>
        <v>232693.73999999987</v>
      </c>
      <c r="I50" s="13"/>
      <c r="J50" s="22">
        <f>IF(H$12=0,0,H50/H$12)</f>
        <v>0.28584286494044037</v>
      </c>
      <c r="K50" s="15"/>
      <c r="L50" s="20">
        <f>+D50-H50</f>
        <v>-91765.289999999921</v>
      </c>
      <c r="M50" s="15"/>
      <c r="N50" s="22">
        <f>IF(H50=0,0,L50/H50)</f>
        <v>-0.39436080231466464</v>
      </c>
      <c r="O50" s="26"/>
      <c r="P50" s="20">
        <f>P12-P35</f>
        <v>154438.33000000007</v>
      </c>
      <c r="Q50" s="13"/>
      <c r="R50" s="22">
        <f>IF(P$12=0,0,P50/P$12)</f>
        <v>0.19386434796842564</v>
      </c>
      <c r="S50" s="13"/>
      <c r="T50" s="20">
        <f>T12-T35</f>
        <v>247344.65999999992</v>
      </c>
      <c r="U50" s="13"/>
      <c r="V50" s="22">
        <f>IF(T$12=0,0,T50/T$12)</f>
        <v>0.2893594630589077</v>
      </c>
      <c r="W50" s="15"/>
      <c r="X50" s="20">
        <f>+P50-T50</f>
        <v>-92906.329999999842</v>
      </c>
      <c r="Y50" s="15"/>
      <c r="Z50" s="22">
        <f>IF(T50=0,0,X50/T50)</f>
        <v>-0.37561486065638072</v>
      </c>
    </row>
    <row r="51" spans="1:26" x14ac:dyDescent="0.3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3">
      <c r="A52" s="10"/>
      <c r="B52" s="26" t="s">
        <v>294</v>
      </c>
      <c r="C52" s="10"/>
      <c r="D52" s="21">
        <f>SUM(OSRRefD22x_0)</f>
        <v>53160.810000000005</v>
      </c>
      <c r="E52" s="21"/>
      <c r="F52" s="32">
        <f t="shared" ref="F52:F62" si="20">IF(D$12=0,0,D52/D$12)</f>
        <v>7.1797280307518904E-2</v>
      </c>
      <c r="G52" s="21"/>
      <c r="H52" s="21">
        <f>SUM(OSRRefH22x_0)</f>
        <v>48390.540000000008</v>
      </c>
      <c r="I52" s="21"/>
      <c r="J52" s="32">
        <f t="shared" ref="J52:J62" si="21">IF(H$12=0,0,H52/H$12)</f>
        <v>5.9443329200067806E-2</v>
      </c>
      <c r="K52" s="4"/>
      <c r="L52" s="21">
        <f t="shared" ref="L52:L62" si="22">+D52-H52</f>
        <v>4770.2699999999968</v>
      </c>
      <c r="M52" s="4"/>
      <c r="N52" s="32">
        <f t="shared" ref="N52:N62" si="23">IF(H52=0,0,L52/H52)</f>
        <v>9.8578565149303896E-2</v>
      </c>
      <c r="O52" s="10"/>
      <c r="P52" s="21">
        <f>SUM(OSRRefP22x_0)</f>
        <v>102301.55000000002</v>
      </c>
      <c r="Q52" s="21"/>
      <c r="R52" s="32">
        <f t="shared" ref="R52:R62" si="24">IF(P$12=0,0,P52/P$12)</f>
        <v>0.12841775281375606</v>
      </c>
      <c r="S52" s="21"/>
      <c r="T52" s="21">
        <f>SUM(OSRRefT22x_0)</f>
        <v>88534.650000000023</v>
      </c>
      <c r="U52" s="21"/>
      <c r="V52" s="32">
        <f t="shared" ref="V52:V62" si="25">IF(T$12=0,0,T52/T$12)</f>
        <v>0.10357344600084892</v>
      </c>
      <c r="W52" s="4"/>
      <c r="X52" s="21">
        <f t="shared" ref="X52:X62" si="26">+P52-T52</f>
        <v>13766.899999999994</v>
      </c>
      <c r="Y52" s="4"/>
      <c r="Z52" s="32">
        <f t="shared" ref="Z52:Z62" si="27">IF(T52=0,0,X52/T52)</f>
        <v>0.15549731093984095</v>
      </c>
    </row>
    <row r="53" spans="1:26" s="28" customFormat="1" outlineLevel="1" collapsed="1" x14ac:dyDescent="0.3">
      <c r="A53" s="29"/>
      <c r="B53" s="14" t="str">
        <f>CONCATENATE("     ","*Benefits                                         ")</f>
        <v xml:space="preserve">     *Benefits                                         </v>
      </c>
      <c r="C53" s="14"/>
      <c r="D53" s="1">
        <f>SUM(OSRRefD22_0x_0)</f>
        <v>12699.169999999998</v>
      </c>
      <c r="E53" s="1"/>
      <c r="F53" s="5">
        <f t="shared" si="20"/>
        <v>1.7151090590283229E-2</v>
      </c>
      <c r="G53" s="1"/>
      <c r="H53" s="1">
        <f>SUM(OSRRefH22_0x_0)</f>
        <v>10659.73</v>
      </c>
      <c r="I53" s="1"/>
      <c r="J53" s="5">
        <f t="shared" si="21"/>
        <v>1.309449821336647E-2</v>
      </c>
      <c r="K53" s="1"/>
      <c r="L53" s="1">
        <f t="shared" si="22"/>
        <v>2039.4399999999987</v>
      </c>
      <c r="M53" s="1"/>
      <c r="N53" s="5">
        <f t="shared" si="23"/>
        <v>0.19132191903547263</v>
      </c>
      <c r="O53" s="14"/>
      <c r="P53" s="1">
        <f>SUM(OSRRefP22_0x_0)</f>
        <v>24502.239999999998</v>
      </c>
      <c r="Q53" s="1"/>
      <c r="R53" s="5">
        <f t="shared" si="24"/>
        <v>3.075733065338038E-2</v>
      </c>
      <c r="S53" s="1"/>
      <c r="T53" s="1">
        <f>SUM(OSRRefT22_0x_0)</f>
        <v>21814.160000000003</v>
      </c>
      <c r="U53" s="1"/>
      <c r="V53" s="5">
        <f t="shared" si="25"/>
        <v>2.551958722165704E-2</v>
      </c>
      <c r="W53" s="1"/>
      <c r="X53" s="1">
        <f t="shared" si="26"/>
        <v>2688.0799999999945</v>
      </c>
      <c r="Y53" s="1"/>
      <c r="Z53" s="5">
        <f t="shared" si="27"/>
        <v>0.12322638139630378</v>
      </c>
    </row>
    <row r="54" spans="1:26" s="24" customFormat="1" hidden="1" outlineLevel="2" x14ac:dyDescent="0.3">
      <c r="A54" s="27"/>
      <c r="B54" s="11" t="str">
        <f>CONCATENATE("          ", "6111", " - ", "F.I.C.A.")</f>
        <v xml:space="preserve">          6111 - F.I.C.A.</v>
      </c>
      <c r="C54" s="11"/>
      <c r="D54" s="7">
        <v>2560.6999999999998</v>
      </c>
      <c r="E54" s="2"/>
      <c r="F54" s="8">
        <f t="shared" si="20"/>
        <v>3.458399066595555E-3</v>
      </c>
      <c r="G54" s="2"/>
      <c r="H54" s="7">
        <v>2291.5500000000002</v>
      </c>
      <c r="I54" s="2"/>
      <c r="J54" s="8">
        <f t="shared" si="21"/>
        <v>2.8149584821416619E-3</v>
      </c>
      <c r="K54" s="2"/>
      <c r="L54" s="7">
        <f t="shared" si="22"/>
        <v>269.14999999999964</v>
      </c>
      <c r="M54" s="2"/>
      <c r="N54" s="8">
        <f t="shared" si="23"/>
        <v>0.11745325216556463</v>
      </c>
      <c r="O54" s="11"/>
      <c r="P54" s="7">
        <v>4664.3100000000004</v>
      </c>
      <c r="Q54" s="2"/>
      <c r="R54" s="8">
        <f t="shared" si="24"/>
        <v>5.8550452913639188E-3</v>
      </c>
      <c r="S54" s="2"/>
      <c r="T54" s="7">
        <v>4094</v>
      </c>
      <c r="U54" s="2"/>
      <c r="V54" s="8">
        <f t="shared" si="25"/>
        <v>4.7894207288047717E-3</v>
      </c>
      <c r="W54" s="2"/>
      <c r="X54" s="7">
        <f t="shared" si="26"/>
        <v>570.3100000000004</v>
      </c>
      <c r="Y54" s="2"/>
      <c r="Z54" s="8">
        <f t="shared" si="27"/>
        <v>0.13930385930630201</v>
      </c>
    </row>
    <row r="55" spans="1:26" s="24" customFormat="1" hidden="1" outlineLevel="2" x14ac:dyDescent="0.3">
      <c r="A55" s="27"/>
      <c r="B55" s="11" t="str">
        <f>CONCATENATE("          ", "6112", " - ", "COMPENSATION INSURANCE")</f>
        <v xml:space="preserve">          6112 - COMPENSATION INSURANCE</v>
      </c>
      <c r="C55" s="11"/>
      <c r="D55" s="7">
        <v>471.05</v>
      </c>
      <c r="E55" s="2"/>
      <c r="F55" s="8">
        <f t="shared" si="20"/>
        <v>6.361849807942501E-4</v>
      </c>
      <c r="G55" s="2"/>
      <c r="H55" s="7">
        <v>190.93</v>
      </c>
      <c r="I55" s="2"/>
      <c r="J55" s="8">
        <f t="shared" si="21"/>
        <v>2.3453995024996508E-4</v>
      </c>
      <c r="K55" s="2"/>
      <c r="L55" s="7">
        <f t="shared" si="22"/>
        <v>280.12</v>
      </c>
      <c r="M55" s="2"/>
      <c r="N55" s="8">
        <f t="shared" si="23"/>
        <v>1.4671345519300267</v>
      </c>
      <c r="O55" s="11"/>
      <c r="P55" s="7">
        <v>853.56</v>
      </c>
      <c r="Q55" s="2"/>
      <c r="R55" s="8">
        <f t="shared" si="24"/>
        <v>1.0714623296686082E-3</v>
      </c>
      <c r="S55" s="2"/>
      <c r="T55" s="7">
        <v>338.35</v>
      </c>
      <c r="U55" s="2"/>
      <c r="V55" s="8">
        <f t="shared" si="25"/>
        <v>3.9582327884491808E-4</v>
      </c>
      <c r="W55" s="2"/>
      <c r="X55" s="7">
        <f t="shared" si="26"/>
        <v>515.20999999999992</v>
      </c>
      <c r="Y55" s="2"/>
      <c r="Z55" s="8">
        <f t="shared" si="27"/>
        <v>1.5227131668390717</v>
      </c>
    </row>
    <row r="56" spans="1:26" s="24" customFormat="1" hidden="1" outlineLevel="2" x14ac:dyDescent="0.3">
      <c r="A56" s="27"/>
      <c r="B56" s="11" t="str">
        <f>CONCATENATE("          ", "6113", " - ", "GROUP INSURANCE")</f>
        <v xml:space="preserve">          6113 - GROUP INSURANCE</v>
      </c>
      <c r="C56" s="11"/>
      <c r="D56" s="7">
        <v>4593.8599999999997</v>
      </c>
      <c r="E56" s="2"/>
      <c r="F56" s="8">
        <f t="shared" si="20"/>
        <v>6.2043195751437718E-3</v>
      </c>
      <c r="G56" s="2"/>
      <c r="H56" s="7">
        <v>4114</v>
      </c>
      <c r="I56" s="2"/>
      <c r="J56" s="8">
        <f t="shared" si="21"/>
        <v>5.0536707449240891E-3</v>
      </c>
      <c r="K56" s="2"/>
      <c r="L56" s="7">
        <f t="shared" si="22"/>
        <v>479.85999999999967</v>
      </c>
      <c r="M56" s="2"/>
      <c r="N56" s="8">
        <f t="shared" si="23"/>
        <v>0.1166407389402041</v>
      </c>
      <c r="O56" s="11"/>
      <c r="P56" s="7">
        <v>9187.7199999999993</v>
      </c>
      <c r="Q56" s="2"/>
      <c r="R56" s="8">
        <f t="shared" si="24"/>
        <v>1.1533220717398736E-2</v>
      </c>
      <c r="S56" s="2"/>
      <c r="T56" s="7">
        <v>8362.2099999999991</v>
      </c>
      <c r="U56" s="2"/>
      <c r="V56" s="8">
        <f t="shared" si="25"/>
        <v>9.7826433592131286E-3</v>
      </c>
      <c r="W56" s="2"/>
      <c r="X56" s="7">
        <f t="shared" si="26"/>
        <v>825.51000000000022</v>
      </c>
      <c r="Y56" s="2"/>
      <c r="Z56" s="8">
        <f t="shared" si="27"/>
        <v>9.8719118510537329E-2</v>
      </c>
    </row>
    <row r="57" spans="1:26" s="24" customFormat="1" hidden="1" outlineLevel="2" x14ac:dyDescent="0.3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7">
        <v>93.92</v>
      </c>
      <c r="E57" s="2"/>
      <c r="F57" s="8">
        <f t="shared" si="20"/>
        <v>1.2684533148539639E-4</v>
      </c>
      <c r="G57" s="2"/>
      <c r="H57" s="7">
        <v>71.989999999999995</v>
      </c>
      <c r="I57" s="2"/>
      <c r="J57" s="8">
        <f t="shared" si="21"/>
        <v>8.8433095995888469E-5</v>
      </c>
      <c r="K57" s="2"/>
      <c r="L57" s="7">
        <f t="shared" si="22"/>
        <v>21.930000000000007</v>
      </c>
      <c r="M57" s="2"/>
      <c r="N57" s="8">
        <f t="shared" si="23"/>
        <v>0.30462564245034046</v>
      </c>
      <c r="O57" s="11"/>
      <c r="P57" s="7">
        <v>168.63</v>
      </c>
      <c r="Q57" s="2"/>
      <c r="R57" s="8">
        <f t="shared" si="24"/>
        <v>2.1167895947797155E-4</v>
      </c>
      <c r="S57" s="2"/>
      <c r="T57" s="7">
        <v>133.41999999999999</v>
      </c>
      <c r="U57" s="2"/>
      <c r="V57" s="8">
        <f t="shared" si="25"/>
        <v>1.5608317382440951E-4</v>
      </c>
      <c r="W57" s="2"/>
      <c r="X57" s="7">
        <f t="shared" si="26"/>
        <v>35.210000000000008</v>
      </c>
      <c r="Y57" s="2"/>
      <c r="Z57" s="8">
        <f t="shared" si="27"/>
        <v>0.26390346274921311</v>
      </c>
    </row>
    <row r="58" spans="1:26" s="24" customFormat="1" hidden="1" outlineLevel="2" x14ac:dyDescent="0.3">
      <c r="A58" s="27"/>
      <c r="B58" s="11" t="str">
        <f>CONCATENATE("          ", "6115", " - ", "P.E.R.S.")</f>
        <v xml:space="preserve">          6115 - P.E.R.S.</v>
      </c>
      <c r="C58" s="11"/>
      <c r="D58" s="7">
        <v>1607.1</v>
      </c>
      <c r="E58" s="2"/>
      <c r="F58" s="8">
        <f t="shared" si="20"/>
        <v>2.1704975748528593E-3</v>
      </c>
      <c r="G58" s="2"/>
      <c r="H58" s="7">
        <v>1480.2</v>
      </c>
      <c r="I58" s="2"/>
      <c r="J58" s="8">
        <f t="shared" si="21"/>
        <v>1.8182896054051135E-3</v>
      </c>
      <c r="K58" s="2"/>
      <c r="L58" s="7">
        <f t="shared" si="22"/>
        <v>126.89999999999986</v>
      </c>
      <c r="M58" s="2"/>
      <c r="N58" s="8">
        <f t="shared" si="23"/>
        <v>8.5731657884069626E-2</v>
      </c>
      <c r="O58" s="11"/>
      <c r="P58" s="7">
        <v>3214.2</v>
      </c>
      <c r="Q58" s="2"/>
      <c r="R58" s="8">
        <f t="shared" si="24"/>
        <v>4.0347418107934303E-3</v>
      </c>
      <c r="S58" s="2"/>
      <c r="T58" s="7">
        <v>3700.52</v>
      </c>
      <c r="U58" s="2"/>
      <c r="V58" s="8">
        <f t="shared" si="25"/>
        <v>4.3291028811325433E-3</v>
      </c>
      <c r="W58" s="2"/>
      <c r="X58" s="7">
        <f t="shared" si="26"/>
        <v>-486.32000000000016</v>
      </c>
      <c r="Y58" s="2"/>
      <c r="Z58" s="8">
        <f t="shared" si="27"/>
        <v>-0.13141936808880919</v>
      </c>
    </row>
    <row r="59" spans="1:26" s="24" customFormat="1" hidden="1" outlineLevel="2" x14ac:dyDescent="0.3">
      <c r="A59" s="27"/>
      <c r="B59" s="11" t="str">
        <f>CONCATENATE("          ", "6117", " - ", "RETIREMENT STAFF HOURLY")</f>
        <v xml:space="preserve">          6117 - RETIREMENT STAFF HOURLY</v>
      </c>
      <c r="C59" s="11"/>
      <c r="D59" s="7">
        <v>532.32000000000005</v>
      </c>
      <c r="E59" s="2"/>
      <c r="F59" s="8">
        <f t="shared" si="20"/>
        <v>7.1893427232012572E-4</v>
      </c>
      <c r="G59" s="2"/>
      <c r="H59" s="7">
        <v>255.65</v>
      </c>
      <c r="I59" s="2"/>
      <c r="J59" s="8">
        <f t="shared" si="21"/>
        <v>3.1404251967424488E-4</v>
      </c>
      <c r="K59" s="2"/>
      <c r="L59" s="7">
        <f t="shared" si="22"/>
        <v>276.67000000000007</v>
      </c>
      <c r="M59" s="2"/>
      <c r="N59" s="8">
        <f t="shared" si="23"/>
        <v>1.0822217876002349</v>
      </c>
      <c r="O59" s="11"/>
      <c r="P59" s="7">
        <v>785.93</v>
      </c>
      <c r="Q59" s="2"/>
      <c r="R59" s="8">
        <f t="shared" si="24"/>
        <v>9.865673048836043E-4</v>
      </c>
      <c r="S59" s="2"/>
      <c r="T59" s="7">
        <v>588.79</v>
      </c>
      <c r="U59" s="2"/>
      <c r="V59" s="8">
        <f t="shared" si="25"/>
        <v>6.8880386685709857E-4</v>
      </c>
      <c r="W59" s="2"/>
      <c r="X59" s="7">
        <f t="shared" si="26"/>
        <v>197.14</v>
      </c>
      <c r="Y59" s="2"/>
      <c r="Z59" s="8">
        <f t="shared" si="27"/>
        <v>0.33482226260636222</v>
      </c>
    </row>
    <row r="60" spans="1:26" s="24" customFormat="1" hidden="1" outlineLevel="2" x14ac:dyDescent="0.3">
      <c r="A60" s="27"/>
      <c r="B60" s="11" t="str">
        <f>CONCATENATE("          ", "6118", " - ", "VACATION")</f>
        <v xml:space="preserve">          6118 - VACATION</v>
      </c>
      <c r="C60" s="11"/>
      <c r="D60" s="7">
        <v>1307.55</v>
      </c>
      <c r="E60" s="2"/>
      <c r="F60" s="8">
        <f t="shared" si="20"/>
        <v>1.765934978532049E-3</v>
      </c>
      <c r="G60" s="2"/>
      <c r="H60" s="7">
        <v>942.5</v>
      </c>
      <c r="I60" s="2"/>
      <c r="J60" s="8">
        <f t="shared" si="21"/>
        <v>1.1577745933619237E-3</v>
      </c>
      <c r="K60" s="2"/>
      <c r="L60" s="7">
        <f t="shared" si="22"/>
        <v>365.04999999999995</v>
      </c>
      <c r="M60" s="2"/>
      <c r="N60" s="8">
        <f t="shared" si="23"/>
        <v>0.38732095490716173</v>
      </c>
      <c r="O60" s="11"/>
      <c r="P60" s="7">
        <v>2664.89</v>
      </c>
      <c r="Q60" s="2"/>
      <c r="R60" s="8">
        <f t="shared" si="24"/>
        <v>3.345200393306361E-3</v>
      </c>
      <c r="S60" s="2"/>
      <c r="T60" s="7">
        <v>1910.31</v>
      </c>
      <c r="U60" s="2"/>
      <c r="V60" s="8">
        <f t="shared" si="25"/>
        <v>2.2348017372845735E-3</v>
      </c>
      <c r="W60" s="2"/>
      <c r="X60" s="7">
        <f t="shared" si="26"/>
        <v>754.57999999999993</v>
      </c>
      <c r="Y60" s="2"/>
      <c r="Z60" s="8">
        <f t="shared" si="27"/>
        <v>0.39500395223811841</v>
      </c>
    </row>
    <row r="61" spans="1:26" s="24" customFormat="1" hidden="1" outlineLevel="2" x14ac:dyDescent="0.3">
      <c r="A61" s="27"/>
      <c r="B61" s="11" t="str">
        <f>CONCATENATE("          ", "6119", " - ", "SICK LEAVE")</f>
        <v xml:space="preserve">          6119 - SICK LEAVE</v>
      </c>
      <c r="C61" s="11"/>
      <c r="D61" s="7">
        <v>1071.9000000000001</v>
      </c>
      <c r="E61" s="2"/>
      <c r="F61" s="8">
        <f t="shared" si="20"/>
        <v>1.4476736671549873E-3</v>
      </c>
      <c r="G61" s="2"/>
      <c r="H61" s="7">
        <v>944.6</v>
      </c>
      <c r="I61" s="2"/>
      <c r="J61" s="8">
        <f t="shared" si="21"/>
        <v>1.1603542502808203E-3</v>
      </c>
      <c r="K61" s="2"/>
      <c r="L61" s="7">
        <f t="shared" si="22"/>
        <v>127.30000000000007</v>
      </c>
      <c r="M61" s="2"/>
      <c r="N61" s="8">
        <f t="shared" si="23"/>
        <v>0.13476603853482963</v>
      </c>
      <c r="O61" s="11"/>
      <c r="P61" s="7">
        <v>2143.8000000000002</v>
      </c>
      <c r="Q61" s="2"/>
      <c r="R61" s="8">
        <f t="shared" si="24"/>
        <v>2.6910831603443961E-3</v>
      </c>
      <c r="S61" s="2"/>
      <c r="T61" s="7">
        <v>1889.2</v>
      </c>
      <c r="U61" s="2"/>
      <c r="V61" s="8">
        <f t="shared" si="25"/>
        <v>2.2101059210693635E-3</v>
      </c>
      <c r="W61" s="2"/>
      <c r="X61" s="7">
        <f t="shared" si="26"/>
        <v>254.60000000000014</v>
      </c>
      <c r="Y61" s="2"/>
      <c r="Z61" s="8">
        <f t="shared" si="27"/>
        <v>0.13476603853482963</v>
      </c>
    </row>
    <row r="62" spans="1:26" s="24" customFormat="1" hidden="1" outlineLevel="2" x14ac:dyDescent="0.3">
      <c r="A62" s="27"/>
      <c r="B62" s="11" t="str">
        <f>CONCATENATE("          ", "6156", " - ", "EMPLOYEE MEALS")</f>
        <v xml:space="preserve">          6156 - EMPLOYEE MEALS</v>
      </c>
      <c r="C62" s="11"/>
      <c r="D62" s="7">
        <v>460.77</v>
      </c>
      <c r="E62" s="2"/>
      <c r="F62" s="8">
        <f t="shared" si="20"/>
        <v>6.2230114340423859E-4</v>
      </c>
      <c r="G62" s="2"/>
      <c r="H62" s="7">
        <v>368.31</v>
      </c>
      <c r="I62" s="2"/>
      <c r="J62" s="8">
        <f t="shared" si="21"/>
        <v>4.5243497133276404E-4</v>
      </c>
      <c r="K62" s="2"/>
      <c r="L62" s="7">
        <f t="shared" si="22"/>
        <v>92.45999999999998</v>
      </c>
      <c r="M62" s="2"/>
      <c r="N62" s="8">
        <f t="shared" si="23"/>
        <v>0.25103852732752296</v>
      </c>
      <c r="O62" s="11"/>
      <c r="P62" s="7">
        <v>819.2</v>
      </c>
      <c r="Q62" s="2"/>
      <c r="R62" s="8">
        <f t="shared" si="24"/>
        <v>1.0283306861433572E-3</v>
      </c>
      <c r="S62" s="2"/>
      <c r="T62" s="7">
        <v>797.36</v>
      </c>
      <c r="U62" s="2"/>
      <c r="V62" s="8">
        <f t="shared" si="25"/>
        <v>9.3280227462622686E-4</v>
      </c>
      <c r="W62" s="2"/>
      <c r="X62" s="7">
        <f t="shared" si="26"/>
        <v>21.840000000000032</v>
      </c>
      <c r="Y62" s="2"/>
      <c r="Z62" s="8">
        <f t="shared" si="27"/>
        <v>2.7390388281328424E-2</v>
      </c>
    </row>
    <row r="63" spans="1:26" s="28" customFormat="1" outlineLevel="1" collapsed="1" x14ac:dyDescent="0.3">
      <c r="A63" s="29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37759.429999999993</v>
      </c>
      <c r="E63" s="1"/>
      <c r="F63" s="5">
        <f t="shared" ref="F63:F70" si="28">IF(D$12=0,0,D63/D$12)</f>
        <v>5.0996671795673125E-2</v>
      </c>
      <c r="G63" s="1"/>
      <c r="H63" s="1">
        <f>SUM(OSRRefH22_1x_0)</f>
        <v>35256.06</v>
      </c>
      <c r="I63" s="1"/>
      <c r="J63" s="5">
        <f t="shared" ref="J63:J70" si="29">IF(H$12=0,0,H63/H$12)</f>
        <v>4.3308828148587351E-2</v>
      </c>
      <c r="K63" s="1"/>
      <c r="L63" s="1">
        <f t="shared" ref="L63:L70" si="30">+D63-H63</f>
        <v>2503.3699999999953</v>
      </c>
      <c r="M63" s="1"/>
      <c r="N63" s="5">
        <f t="shared" ref="N63:N70" si="31">IF(H63=0,0,L63/H63)</f>
        <v>7.1005381769828943E-2</v>
      </c>
      <c r="O63" s="14"/>
      <c r="P63" s="1">
        <f>SUM(OSRRefP22_1x_0)</f>
        <v>70181.180000000008</v>
      </c>
      <c r="Q63" s="1"/>
      <c r="R63" s="5">
        <f t="shared" ref="R63:R70" si="32">IF(P$12=0,0,P63/P$12)</f>
        <v>8.8097486552429757E-2</v>
      </c>
      <c r="S63" s="1"/>
      <c r="T63" s="1">
        <f>SUM(OSRRefT22_1x_0)</f>
        <v>64557.290000000008</v>
      </c>
      <c r="U63" s="1"/>
      <c r="V63" s="5">
        <f t="shared" ref="V63:V70" si="33">IF(T$12=0,0,T63/T$12)</f>
        <v>7.5523210288583539E-2</v>
      </c>
      <c r="W63" s="1"/>
      <c r="X63" s="1">
        <f t="shared" ref="X63:X70" si="34">+P63-T63</f>
        <v>5623.8899999999994</v>
      </c>
      <c r="Y63" s="1"/>
      <c r="Z63" s="5">
        <f t="shared" ref="Z63:Z70" si="35">IF(T63=0,0,X63/T63)</f>
        <v>8.7114716246608229E-2</v>
      </c>
    </row>
    <row r="64" spans="1:26" s="24" customFormat="1" hidden="1" outlineLevel="2" x14ac:dyDescent="0.3">
      <c r="A64" s="27"/>
      <c r="B64" s="11" t="str">
        <f>CONCATENATE("          ", "6001", " - ", "ADMINISTRATIVE SALARIES")</f>
        <v xml:space="preserve">          6001 - ADMINISTRATIVE SALARIES</v>
      </c>
      <c r="C64" s="11"/>
      <c r="D64" s="7"/>
      <c r="E64" s="2"/>
      <c r="F64" s="8">
        <f t="shared" si="28"/>
        <v>0</v>
      </c>
      <c r="G64" s="2"/>
      <c r="H64" s="7"/>
      <c r="I64" s="2"/>
      <c r="J64" s="8">
        <f t="shared" si="29"/>
        <v>0</v>
      </c>
      <c r="K64" s="2"/>
      <c r="L64" s="7">
        <f t="shared" si="30"/>
        <v>0</v>
      </c>
      <c r="M64" s="2"/>
      <c r="N64" s="8">
        <f t="shared" si="31"/>
        <v>0</v>
      </c>
      <c r="O64" s="11"/>
      <c r="P64" s="7"/>
      <c r="Q64" s="2"/>
      <c r="R64" s="8">
        <f t="shared" si="32"/>
        <v>0</v>
      </c>
      <c r="S64" s="2"/>
      <c r="T64" s="7">
        <v>-311.32</v>
      </c>
      <c r="U64" s="2"/>
      <c r="V64" s="8">
        <f t="shared" si="33"/>
        <v>-3.6420187134623874E-4</v>
      </c>
      <c r="W64" s="2"/>
      <c r="X64" s="7">
        <f t="shared" si="34"/>
        <v>311.32</v>
      </c>
      <c r="Y64" s="2"/>
      <c r="Z64" s="8">
        <f t="shared" si="35"/>
        <v>-1</v>
      </c>
    </row>
    <row r="65" spans="1:26" s="24" customFormat="1" hidden="1" outlineLevel="2" x14ac:dyDescent="0.3">
      <c r="A65" s="27"/>
      <c r="B65" s="11" t="str">
        <f>CONCATENATE("          ", "6002", " - ", "STAFF SALARIES")</f>
        <v xml:space="preserve">          6002 - STAFF SALARIES</v>
      </c>
      <c r="C65" s="11"/>
      <c r="D65" s="7">
        <v>17688.78</v>
      </c>
      <c r="E65" s="2"/>
      <c r="F65" s="8">
        <f t="shared" si="28"/>
        <v>2.3889897387907259E-2</v>
      </c>
      <c r="G65" s="2"/>
      <c r="H65" s="7">
        <v>14705.64</v>
      </c>
      <c r="I65" s="2"/>
      <c r="J65" s="8">
        <f t="shared" si="29"/>
        <v>1.8064526653715478E-2</v>
      </c>
      <c r="K65" s="2"/>
      <c r="L65" s="7">
        <f t="shared" si="30"/>
        <v>2983.1399999999994</v>
      </c>
      <c r="M65" s="2"/>
      <c r="N65" s="8">
        <f t="shared" si="31"/>
        <v>0.20285686308110354</v>
      </c>
      <c r="O65" s="11"/>
      <c r="P65" s="7">
        <v>36750.01</v>
      </c>
      <c r="Q65" s="2"/>
      <c r="R65" s="8">
        <f t="shared" si="32"/>
        <v>4.6131790770355514E-2</v>
      </c>
      <c r="S65" s="2"/>
      <c r="T65" s="7">
        <v>33135.4</v>
      </c>
      <c r="U65" s="2"/>
      <c r="V65" s="8">
        <f t="shared" si="33"/>
        <v>3.8763891455114226E-2</v>
      </c>
      <c r="W65" s="2"/>
      <c r="X65" s="7">
        <f t="shared" si="34"/>
        <v>3614.6100000000006</v>
      </c>
      <c r="Y65" s="2"/>
      <c r="Z65" s="8">
        <f t="shared" si="35"/>
        <v>0.10908605298261076</v>
      </c>
    </row>
    <row r="66" spans="1:26" s="24" customFormat="1" hidden="1" outlineLevel="2" x14ac:dyDescent="0.3">
      <c r="A66" s="27"/>
      <c r="B66" s="11" t="str">
        <f>CONCATENATE("          ", "6004", " - ", "STAFF HOURLY")</f>
        <v xml:space="preserve">          6004 - STAFF HOURLY</v>
      </c>
      <c r="C66" s="11"/>
      <c r="D66" s="7">
        <v>6640.82</v>
      </c>
      <c r="E66" s="2"/>
      <c r="F66" s="8">
        <f t="shared" si="28"/>
        <v>8.9688779198770236E-3</v>
      </c>
      <c r="G66" s="2"/>
      <c r="H66" s="7">
        <v>6665.13</v>
      </c>
      <c r="I66" s="2"/>
      <c r="J66" s="8">
        <f t="shared" si="29"/>
        <v>8.1874993904025029E-3</v>
      </c>
      <c r="K66" s="2"/>
      <c r="L66" s="7">
        <f t="shared" si="30"/>
        <v>-24.3100000000004</v>
      </c>
      <c r="M66" s="2"/>
      <c r="N66" s="8">
        <f t="shared" si="31"/>
        <v>-3.647340712034184E-3</v>
      </c>
      <c r="O66" s="11"/>
      <c r="P66" s="7">
        <v>12824.87</v>
      </c>
      <c r="Q66" s="2"/>
      <c r="R66" s="8">
        <f t="shared" si="32"/>
        <v>1.6098885945799998E-2</v>
      </c>
      <c r="S66" s="2"/>
      <c r="T66" s="7">
        <v>12173.1</v>
      </c>
      <c r="U66" s="2"/>
      <c r="V66" s="8">
        <f t="shared" si="33"/>
        <v>1.4240864062973466E-2</v>
      </c>
      <c r="W66" s="2"/>
      <c r="X66" s="7">
        <f t="shared" si="34"/>
        <v>651.77000000000044</v>
      </c>
      <c r="Y66" s="2"/>
      <c r="Z66" s="8">
        <f t="shared" si="35"/>
        <v>5.3541825829082193E-2</v>
      </c>
    </row>
    <row r="67" spans="1:26" s="24" customFormat="1" hidden="1" outlineLevel="2" x14ac:dyDescent="0.3">
      <c r="A67" s="27"/>
      <c r="B67" s="11" t="str">
        <f>CONCATENATE("          ", "6005", " - ", "TEMPORARY WAGES-HOURLY")</f>
        <v xml:space="preserve">          6005 - TEMPORARY WAGES-HOURLY</v>
      </c>
      <c r="C67" s="11"/>
      <c r="D67" s="7">
        <v>3203.48</v>
      </c>
      <c r="E67" s="2"/>
      <c r="F67" s="8">
        <f t="shared" si="28"/>
        <v>4.3265170624663292E-3</v>
      </c>
      <c r="G67" s="2"/>
      <c r="H67" s="7">
        <v>3708.03</v>
      </c>
      <c r="I67" s="2"/>
      <c r="J67" s="8">
        <f t="shared" si="29"/>
        <v>4.5549739261791129E-3</v>
      </c>
      <c r="K67" s="2"/>
      <c r="L67" s="7">
        <f t="shared" si="30"/>
        <v>-504.55000000000018</v>
      </c>
      <c r="M67" s="2"/>
      <c r="N67" s="8">
        <f t="shared" si="31"/>
        <v>-0.13606955715029279</v>
      </c>
      <c r="O67" s="11"/>
      <c r="P67" s="7">
        <v>7081.27</v>
      </c>
      <c r="Q67" s="2"/>
      <c r="R67" s="8">
        <f t="shared" si="32"/>
        <v>8.8890225071610977E-3</v>
      </c>
      <c r="S67" s="2"/>
      <c r="T67" s="7">
        <v>5694.05</v>
      </c>
      <c r="U67" s="2"/>
      <c r="V67" s="8">
        <f t="shared" si="33"/>
        <v>6.6612606499391333E-3</v>
      </c>
      <c r="W67" s="2"/>
      <c r="X67" s="7">
        <f t="shared" si="34"/>
        <v>1387.2200000000003</v>
      </c>
      <c r="Y67" s="2"/>
      <c r="Z67" s="8">
        <f t="shared" si="35"/>
        <v>0.24362624142745501</v>
      </c>
    </row>
    <row r="68" spans="1:26" s="24" customFormat="1" hidden="1" outlineLevel="2" x14ac:dyDescent="0.3">
      <c r="A68" s="27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8">
        <f t="shared" si="28"/>
        <v>0</v>
      </c>
      <c r="G68" s="2"/>
      <c r="H68" s="7"/>
      <c r="I68" s="2"/>
      <c r="J68" s="8">
        <f t="shared" si="29"/>
        <v>0</v>
      </c>
      <c r="K68" s="2"/>
      <c r="L68" s="7">
        <f t="shared" si="30"/>
        <v>0</v>
      </c>
      <c r="M68" s="2"/>
      <c r="N68" s="8">
        <f t="shared" si="31"/>
        <v>0</v>
      </c>
      <c r="O68" s="11"/>
      <c r="P68" s="7"/>
      <c r="Q68" s="2"/>
      <c r="R68" s="8">
        <f t="shared" si="32"/>
        <v>0</v>
      </c>
      <c r="S68" s="2"/>
      <c r="T68" s="7">
        <v>502.29</v>
      </c>
      <c r="U68" s="2"/>
      <c r="V68" s="8">
        <f t="shared" si="33"/>
        <v>5.8761068340775499E-4</v>
      </c>
      <c r="W68" s="2"/>
      <c r="X68" s="7">
        <f t="shared" si="34"/>
        <v>-502.29</v>
      </c>
      <c r="Y68" s="2"/>
      <c r="Z68" s="8">
        <f t="shared" si="35"/>
        <v>-1</v>
      </c>
    </row>
    <row r="69" spans="1:26" s="24" customFormat="1" hidden="1" outlineLevel="2" x14ac:dyDescent="0.3">
      <c r="A69" s="27"/>
      <c r="B69" s="11" t="str">
        <f>CONCATENATE("          ", "6007", " - ", "STUDENT HOURLY")</f>
        <v xml:space="preserve">          6007 - STUDENT HOURLY</v>
      </c>
      <c r="C69" s="11"/>
      <c r="D69" s="7">
        <v>8687.33</v>
      </c>
      <c r="E69" s="2"/>
      <c r="F69" s="8">
        <f t="shared" si="28"/>
        <v>1.1732828509082503E-2</v>
      </c>
      <c r="G69" s="2"/>
      <c r="H69" s="7">
        <v>10177.26</v>
      </c>
      <c r="I69" s="2"/>
      <c r="J69" s="8">
        <f t="shared" si="29"/>
        <v>1.2501828178290261E-2</v>
      </c>
      <c r="K69" s="2"/>
      <c r="L69" s="7">
        <f t="shared" si="30"/>
        <v>-1489.9300000000003</v>
      </c>
      <c r="M69" s="2"/>
      <c r="N69" s="8">
        <f t="shared" si="31"/>
        <v>-0.14639794993937466</v>
      </c>
      <c r="O69" s="11"/>
      <c r="P69" s="7">
        <v>11986.01</v>
      </c>
      <c r="Q69" s="2"/>
      <c r="R69" s="8">
        <f t="shared" si="32"/>
        <v>1.5045876327418384E-2</v>
      </c>
      <c r="S69" s="2"/>
      <c r="T69" s="7">
        <v>13363.77</v>
      </c>
      <c r="U69" s="2"/>
      <c r="V69" s="8">
        <f t="shared" si="33"/>
        <v>1.5633785308495199E-2</v>
      </c>
      <c r="W69" s="2"/>
      <c r="X69" s="7">
        <f t="shared" si="34"/>
        <v>-1377.7600000000002</v>
      </c>
      <c r="Y69" s="2"/>
      <c r="Z69" s="8">
        <f t="shared" si="35"/>
        <v>-0.10309665610826886</v>
      </c>
    </row>
    <row r="70" spans="1:26" s="24" customFormat="1" hidden="1" outlineLevel="2" x14ac:dyDescent="0.3">
      <c r="A70" s="27"/>
      <c r="B70" s="11" t="str">
        <f>CONCATENATE("          ", "6008", " - ", "STUDENT HOURLY-FICA EXEMPT")</f>
        <v xml:space="preserve">          6008 - STUDENT HOURLY-FICA EXEMPT</v>
      </c>
      <c r="C70" s="11"/>
      <c r="D70" s="7">
        <v>1539.02</v>
      </c>
      <c r="E70" s="2"/>
      <c r="F70" s="8">
        <f t="shared" si="28"/>
        <v>2.0785509163400205E-3</v>
      </c>
      <c r="G70" s="2"/>
      <c r="H70" s="7"/>
      <c r="I70" s="2"/>
      <c r="J70" s="8">
        <f t="shared" si="29"/>
        <v>0</v>
      </c>
      <c r="K70" s="2"/>
      <c r="L70" s="7">
        <f t="shared" si="30"/>
        <v>1539.02</v>
      </c>
      <c r="M70" s="2"/>
      <c r="N70" s="8">
        <f t="shared" si="31"/>
        <v>0</v>
      </c>
      <c r="O70" s="11"/>
      <c r="P70" s="7">
        <v>1539.02</v>
      </c>
      <c r="Q70" s="2"/>
      <c r="R70" s="8">
        <f t="shared" si="32"/>
        <v>1.9319110016947625E-3</v>
      </c>
      <c r="S70" s="2"/>
      <c r="T70" s="7"/>
      <c r="U70" s="2"/>
      <c r="V70" s="8">
        <f t="shared" si="33"/>
        <v>0</v>
      </c>
      <c r="W70" s="2"/>
      <c r="X70" s="7">
        <f t="shared" si="34"/>
        <v>1539.02</v>
      </c>
      <c r="Y70" s="2"/>
      <c r="Z70" s="8">
        <f t="shared" si="35"/>
        <v>0</v>
      </c>
    </row>
    <row r="71" spans="1:26" s="28" customFormat="1" outlineLevel="1" collapsed="1" x14ac:dyDescent="0.3">
      <c r="A71" s="29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84.14</v>
      </c>
      <c r="E71" s="1"/>
      <c r="F71" s="5">
        <f t="shared" ref="F71:F87" si="36">IF(D$12=0,0,D71/D$12)</f>
        <v>1.1363677801513258E-4</v>
      </c>
      <c r="G71" s="1"/>
      <c r="H71" s="1">
        <f>SUM(OSRRefH22_2x_0)</f>
        <v>109.98</v>
      </c>
      <c r="I71" s="1"/>
      <c r="J71" s="5">
        <f t="shared" ref="J71:J87" si="37">IF(H$12=0,0,H71/H$12)</f>
        <v>1.3510031806678448E-4</v>
      </c>
      <c r="K71" s="1"/>
      <c r="L71" s="1">
        <f t="shared" ref="L71:L87" si="38">+D71-H71</f>
        <v>-25.840000000000003</v>
      </c>
      <c r="M71" s="1"/>
      <c r="N71" s="5">
        <f t="shared" ref="N71:N87" si="39">IF(H71=0,0,L71/H71)</f>
        <v>-0.23495180941989455</v>
      </c>
      <c r="O71" s="14"/>
      <c r="P71" s="1">
        <f>SUM(OSRRefP22_2x_0)</f>
        <v>84.14</v>
      </c>
      <c r="Q71" s="1"/>
      <c r="R71" s="5">
        <f t="shared" ref="R71:R87" si="40">IF(P$12=0,0,P71/P$12)</f>
        <v>1.0561980460461679E-4</v>
      </c>
      <c r="S71" s="1"/>
      <c r="T71" s="1">
        <f>SUM(OSRRefT22_2x_0)</f>
        <v>1359.88</v>
      </c>
      <c r="U71" s="1"/>
      <c r="V71" s="5">
        <f t="shared" ref="V71:V87" si="41">IF(T$12=0,0,T71/T$12)</f>
        <v>1.5908738301629295E-3</v>
      </c>
      <c r="W71" s="1"/>
      <c r="X71" s="1">
        <f t="shared" ref="X71:X87" si="42">+P71-T71</f>
        <v>-1275.74</v>
      </c>
      <c r="Y71" s="1"/>
      <c r="Z71" s="5">
        <f t="shared" ref="Z71:Z87" si="43">IF(T71=0,0,X71/T71)</f>
        <v>-0.9381268935494308</v>
      </c>
    </row>
    <row r="72" spans="1:26" s="24" customFormat="1" hidden="1" outlineLevel="2" x14ac:dyDescent="0.3">
      <c r="A72" s="27"/>
      <c r="B72" s="11" t="str">
        <f>CONCATENATE("          ", "6362", " - ", "ADVERTISING EXPENSE")</f>
        <v xml:space="preserve">          6362 - ADVERTISING EXPENSE</v>
      </c>
      <c r="C72" s="11"/>
      <c r="D72" s="7">
        <v>84.14</v>
      </c>
      <c r="E72" s="2"/>
      <c r="F72" s="8">
        <f t="shared" si="36"/>
        <v>1.1363677801513258E-4</v>
      </c>
      <c r="G72" s="2"/>
      <c r="H72" s="7">
        <v>109.98</v>
      </c>
      <c r="I72" s="2"/>
      <c r="J72" s="8">
        <f t="shared" si="37"/>
        <v>1.3510031806678448E-4</v>
      </c>
      <c r="K72" s="2"/>
      <c r="L72" s="7">
        <f t="shared" si="38"/>
        <v>-25.840000000000003</v>
      </c>
      <c r="M72" s="2"/>
      <c r="N72" s="8">
        <f t="shared" si="39"/>
        <v>-0.23495180941989455</v>
      </c>
      <c r="O72" s="11"/>
      <c r="P72" s="7">
        <v>84.14</v>
      </c>
      <c r="Q72" s="2"/>
      <c r="R72" s="8">
        <f t="shared" si="40"/>
        <v>1.0561980460461679E-4</v>
      </c>
      <c r="S72" s="2"/>
      <c r="T72" s="7">
        <v>1359.88</v>
      </c>
      <c r="U72" s="2"/>
      <c r="V72" s="8">
        <f t="shared" si="41"/>
        <v>1.5908738301629295E-3</v>
      </c>
      <c r="W72" s="2"/>
      <c r="X72" s="7">
        <f t="shared" si="42"/>
        <v>-1275.74</v>
      </c>
      <c r="Y72" s="2"/>
      <c r="Z72" s="8">
        <f t="shared" si="43"/>
        <v>-0.9381268935494308</v>
      </c>
    </row>
    <row r="73" spans="1:26" s="28" customFormat="1" outlineLevel="1" collapsed="1" x14ac:dyDescent="0.3">
      <c r="A73" s="29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SUM(OSRRefD22_3x_0)</f>
        <v>0</v>
      </c>
      <c r="E73" s="1"/>
      <c r="F73" s="5">
        <f t="shared" si="36"/>
        <v>0</v>
      </c>
      <c r="G73" s="1"/>
      <c r="H73" s="1">
        <f>SUM(OSRRefH22_3x_0)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SUM(OSRRefP22_3x_0)</f>
        <v>0</v>
      </c>
      <c r="Q73" s="1"/>
      <c r="R73" s="5">
        <f t="shared" si="40"/>
        <v>0</v>
      </c>
      <c r="S73" s="1"/>
      <c r="T73" s="1">
        <f>SUM(OSRRefT22_3x_0)</f>
        <v>0</v>
      </c>
      <c r="U73" s="1"/>
      <c r="V73" s="5">
        <f t="shared" si="41"/>
        <v>0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3">
      <c r="A74" s="27"/>
      <c r="B74" s="11" t="str">
        <f>CONCATENATE("          ", "6382", " - ", "DISCOUNTS/MARK DOWNS")</f>
        <v xml:space="preserve">          6382 - DISCOUNTS/MARK DOWNS</v>
      </c>
      <c r="C74" s="11"/>
      <c r="D74" s="7"/>
      <c r="E74" s="2"/>
      <c r="F74" s="8">
        <f t="shared" si="36"/>
        <v>0</v>
      </c>
      <c r="G74" s="2"/>
      <c r="H74" s="7">
        <v>0</v>
      </c>
      <c r="I74" s="2"/>
      <c r="J74" s="8">
        <f t="shared" si="37"/>
        <v>0</v>
      </c>
      <c r="K74" s="2"/>
      <c r="L74" s="7">
        <f t="shared" si="38"/>
        <v>0</v>
      </c>
      <c r="M74" s="2"/>
      <c r="N74" s="8">
        <f t="shared" si="39"/>
        <v>0</v>
      </c>
      <c r="O74" s="11"/>
      <c r="P74" s="7"/>
      <c r="Q74" s="2"/>
      <c r="R74" s="8">
        <f t="shared" si="40"/>
        <v>0</v>
      </c>
      <c r="S74" s="2"/>
      <c r="T74" s="7">
        <v>0</v>
      </c>
      <c r="U74" s="2"/>
      <c r="V74" s="8">
        <f t="shared" si="41"/>
        <v>0</v>
      </c>
      <c r="W74" s="2"/>
      <c r="X74" s="7">
        <f t="shared" si="42"/>
        <v>0</v>
      </c>
      <c r="Y74" s="2"/>
      <c r="Z74" s="8">
        <f t="shared" si="43"/>
        <v>0</v>
      </c>
    </row>
    <row r="75" spans="1:26" s="28" customFormat="1" outlineLevel="1" collapsed="1" x14ac:dyDescent="0.3">
      <c r="A75" s="29"/>
      <c r="B75" s="14" t="str">
        <f>CONCATENATE("     ","Employees' Appreciation                           ")</f>
        <v xml:space="preserve">     Employees' Appreciation                           </v>
      </c>
      <c r="C75" s="14"/>
      <c r="D75" s="1">
        <f>SUM(OSRRefD22_4x_0)</f>
        <v>0</v>
      </c>
      <c r="E75" s="1"/>
      <c r="F75" s="5">
        <f t="shared" si="36"/>
        <v>0</v>
      </c>
      <c r="G75" s="1"/>
      <c r="H75" s="1">
        <f>SUM(OSRRefH22_4x_0)</f>
        <v>0</v>
      </c>
      <c r="I75" s="1"/>
      <c r="J75" s="5">
        <f t="shared" si="37"/>
        <v>0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SUM(OSRRefP22_4x_0)</f>
        <v>0</v>
      </c>
      <c r="Q75" s="1"/>
      <c r="R75" s="5">
        <f t="shared" si="40"/>
        <v>0</v>
      </c>
      <c r="S75" s="1"/>
      <c r="T75" s="1">
        <f>SUM(OSRRefT22_4x_0)</f>
        <v>107.7</v>
      </c>
      <c r="U75" s="1"/>
      <c r="V75" s="5">
        <f t="shared" si="41"/>
        <v>1.2599428736987639E-4</v>
      </c>
      <c r="W75" s="1"/>
      <c r="X75" s="1">
        <f t="shared" si="42"/>
        <v>-107.7</v>
      </c>
      <c r="Y75" s="1"/>
      <c r="Z75" s="5">
        <f t="shared" si="43"/>
        <v>-1</v>
      </c>
    </row>
    <row r="76" spans="1:26" s="24" customFormat="1" hidden="1" outlineLevel="2" x14ac:dyDescent="0.3">
      <c r="A76" s="27"/>
      <c r="B76" s="11" t="str">
        <f>CONCATENATE("          ", "6277", " - ", "EMPLOYEE APPRECIATION")</f>
        <v xml:space="preserve">          6277 - EMPLOYEE APPRECIATION</v>
      </c>
      <c r="C76" s="11"/>
      <c r="D76" s="7"/>
      <c r="E76" s="2"/>
      <c r="F76" s="8">
        <f t="shared" si="36"/>
        <v>0</v>
      </c>
      <c r="G76" s="2"/>
      <c r="H76" s="7"/>
      <c r="I76" s="2"/>
      <c r="J76" s="8">
        <f t="shared" si="37"/>
        <v>0</v>
      </c>
      <c r="K76" s="2"/>
      <c r="L76" s="7">
        <f t="shared" si="38"/>
        <v>0</v>
      </c>
      <c r="M76" s="2"/>
      <c r="N76" s="8">
        <f t="shared" si="39"/>
        <v>0</v>
      </c>
      <c r="O76" s="11"/>
      <c r="P76" s="7"/>
      <c r="Q76" s="2"/>
      <c r="R76" s="8">
        <f t="shared" si="40"/>
        <v>0</v>
      </c>
      <c r="S76" s="2"/>
      <c r="T76" s="7">
        <v>107.7</v>
      </c>
      <c r="U76" s="2"/>
      <c r="V76" s="8">
        <f t="shared" si="41"/>
        <v>1.2599428736987639E-4</v>
      </c>
      <c r="W76" s="2"/>
      <c r="X76" s="7">
        <f t="shared" si="42"/>
        <v>-107.7</v>
      </c>
      <c r="Y76" s="2"/>
      <c r="Z76" s="8">
        <f t="shared" si="43"/>
        <v>-1</v>
      </c>
    </row>
    <row r="77" spans="1:26" s="28" customFormat="1" outlineLevel="1" collapsed="1" x14ac:dyDescent="0.3">
      <c r="A77" s="29"/>
      <c r="B77" s="14" t="str">
        <f>CONCATENATE("     ","Equipment Rental                                  ")</f>
        <v xml:space="preserve">     Equipment Rental                                  </v>
      </c>
      <c r="C77" s="14"/>
      <c r="D77" s="1">
        <f>SUM(OSRRefD22_5x_0)</f>
        <v>91.26</v>
      </c>
      <c r="E77" s="1"/>
      <c r="F77" s="5">
        <f t="shared" si="36"/>
        <v>1.2325282103233895E-4</v>
      </c>
      <c r="G77" s="1"/>
      <c r="H77" s="1">
        <f>SUM(OSRRefH22_5x_0)</f>
        <v>91.26</v>
      </c>
      <c r="I77" s="1"/>
      <c r="J77" s="5">
        <f t="shared" si="37"/>
        <v>1.1210451924690626E-4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SUM(OSRRefP22_5x_0)</f>
        <v>182.52</v>
      </c>
      <c r="Q77" s="1"/>
      <c r="R77" s="5">
        <f t="shared" si="40"/>
        <v>2.291148887144599E-4</v>
      </c>
      <c r="S77" s="1"/>
      <c r="T77" s="1">
        <f>SUM(OSRRefT22_5x_0)</f>
        <v>182.52</v>
      </c>
      <c r="U77" s="1"/>
      <c r="V77" s="5">
        <f t="shared" si="41"/>
        <v>2.1352346639507742E-4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1" t="str">
        <f>CONCATENATE("          ", "6351", " - ", "EQUIPMENT RENTAL")</f>
        <v xml:space="preserve">          6351 - EQUIPMENT RENTAL</v>
      </c>
      <c r="C78" s="11"/>
      <c r="D78" s="7">
        <v>91.26</v>
      </c>
      <c r="E78" s="2"/>
      <c r="F78" s="8">
        <f t="shared" si="36"/>
        <v>1.2325282103233895E-4</v>
      </c>
      <c r="G78" s="2"/>
      <c r="H78" s="7">
        <v>91.26</v>
      </c>
      <c r="I78" s="2"/>
      <c r="J78" s="8">
        <f t="shared" si="37"/>
        <v>1.1210451924690626E-4</v>
      </c>
      <c r="K78" s="2"/>
      <c r="L78" s="7">
        <f t="shared" si="38"/>
        <v>0</v>
      </c>
      <c r="M78" s="2"/>
      <c r="N78" s="8">
        <f t="shared" si="39"/>
        <v>0</v>
      </c>
      <c r="O78" s="11"/>
      <c r="P78" s="7">
        <v>182.52</v>
      </c>
      <c r="Q78" s="2"/>
      <c r="R78" s="8">
        <f t="shared" si="40"/>
        <v>2.291148887144599E-4</v>
      </c>
      <c r="S78" s="2"/>
      <c r="T78" s="7">
        <v>182.52</v>
      </c>
      <c r="U78" s="2"/>
      <c r="V78" s="8">
        <f t="shared" si="41"/>
        <v>2.1352346639507742E-4</v>
      </c>
      <c r="W78" s="2"/>
      <c r="X78" s="7">
        <f t="shared" si="42"/>
        <v>0</v>
      </c>
      <c r="Y78" s="2"/>
      <c r="Z78" s="8">
        <f t="shared" si="43"/>
        <v>0</v>
      </c>
    </row>
    <row r="79" spans="1:26" s="28" customFormat="1" outlineLevel="1" collapsed="1" x14ac:dyDescent="0.3">
      <c r="A79" s="29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163.30000000000001</v>
      </c>
      <c r="E79" s="1"/>
      <c r="F79" s="5">
        <f t="shared" si="36"/>
        <v>2.2054772818957871E-4</v>
      </c>
      <c r="G79" s="1"/>
      <c r="H79" s="1">
        <f>SUM(OSRRefH22_6x_0)</f>
        <v>333.31</v>
      </c>
      <c r="I79" s="1"/>
      <c r="J79" s="5">
        <f t="shared" si="37"/>
        <v>4.0944068935115413E-4</v>
      </c>
      <c r="K79" s="1"/>
      <c r="L79" s="1">
        <f t="shared" si="38"/>
        <v>-170.01</v>
      </c>
      <c r="M79" s="1"/>
      <c r="N79" s="5">
        <f t="shared" si="39"/>
        <v>-0.51006570459932188</v>
      </c>
      <c r="O79" s="14"/>
      <c r="P79" s="1">
        <f>SUM(OSRRefP22_6x_0)</f>
        <v>295.97000000000003</v>
      </c>
      <c r="Q79" s="1"/>
      <c r="R79" s="5">
        <f t="shared" si="40"/>
        <v>3.7152714010967947E-4</v>
      </c>
      <c r="S79" s="1"/>
      <c r="T79" s="1">
        <f>SUM(OSRRefT22_6x_0)</f>
        <v>500.81</v>
      </c>
      <c r="U79" s="1"/>
      <c r="V79" s="5">
        <f t="shared" si="41"/>
        <v>5.8587928558688756E-4</v>
      </c>
      <c r="W79" s="1"/>
      <c r="X79" s="1">
        <f t="shared" si="42"/>
        <v>-204.83999999999997</v>
      </c>
      <c r="Y79" s="1"/>
      <c r="Z79" s="5">
        <f t="shared" si="43"/>
        <v>-0.40901739182524305</v>
      </c>
    </row>
    <row r="80" spans="1:26" s="24" customFormat="1" hidden="1" outlineLevel="2" x14ac:dyDescent="0.3">
      <c r="A80" s="27"/>
      <c r="B80" s="11" t="str">
        <f>CONCATENATE("          ", "6305", " - ", "FREIGHT OUT")</f>
        <v xml:space="preserve">          6305 - FREIGHT OUT</v>
      </c>
      <c r="C80" s="11"/>
      <c r="D80" s="7">
        <v>163.30000000000001</v>
      </c>
      <c r="E80" s="2"/>
      <c r="F80" s="8">
        <f t="shared" si="36"/>
        <v>2.2054772818957871E-4</v>
      </c>
      <c r="G80" s="2"/>
      <c r="H80" s="7">
        <v>333.31</v>
      </c>
      <c r="I80" s="2"/>
      <c r="J80" s="8">
        <f t="shared" si="37"/>
        <v>4.0944068935115413E-4</v>
      </c>
      <c r="K80" s="2"/>
      <c r="L80" s="7">
        <f t="shared" si="38"/>
        <v>-170.01</v>
      </c>
      <c r="M80" s="2"/>
      <c r="N80" s="8">
        <f t="shared" si="39"/>
        <v>-0.51006570459932188</v>
      </c>
      <c r="O80" s="11"/>
      <c r="P80" s="7">
        <v>295.97000000000003</v>
      </c>
      <c r="Q80" s="2"/>
      <c r="R80" s="8">
        <f t="shared" si="40"/>
        <v>3.7152714010967947E-4</v>
      </c>
      <c r="S80" s="2"/>
      <c r="T80" s="7">
        <v>500.81</v>
      </c>
      <c r="U80" s="2"/>
      <c r="V80" s="8">
        <f t="shared" si="41"/>
        <v>5.8587928558688756E-4</v>
      </c>
      <c r="W80" s="2"/>
      <c r="X80" s="7">
        <f t="shared" si="42"/>
        <v>-204.83999999999997</v>
      </c>
      <c r="Y80" s="2"/>
      <c r="Z80" s="8">
        <f t="shared" si="43"/>
        <v>-0.40901739182524305</v>
      </c>
    </row>
    <row r="81" spans="1:26" s="28" customFormat="1" outlineLevel="1" collapsed="1" x14ac:dyDescent="0.3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si="36"/>
        <v>0</v>
      </c>
      <c r="G81" s="1"/>
      <c r="H81" s="1">
        <f>SUM(OSRRefH22_7x_0)</f>
        <v>0</v>
      </c>
      <c r="I81" s="1"/>
      <c r="J81" s="5">
        <f t="shared" si="37"/>
        <v>0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SUM(OSRRefP22_7x_0)</f>
        <v>0</v>
      </c>
      <c r="Q81" s="1"/>
      <c r="R81" s="5">
        <f t="shared" si="40"/>
        <v>0</v>
      </c>
      <c r="S81" s="1"/>
      <c r="T81" s="1">
        <f>SUM(OSRRefT22_7x_0)</f>
        <v>-4794.1899999999996</v>
      </c>
      <c r="U81" s="1"/>
      <c r="V81" s="5">
        <f t="shared" si="41"/>
        <v>-5.6085473775839148E-3</v>
      </c>
      <c r="W81" s="1"/>
      <c r="X81" s="1">
        <f t="shared" si="42"/>
        <v>4794.1899999999996</v>
      </c>
      <c r="Y81" s="1"/>
      <c r="Z81" s="5">
        <f t="shared" si="43"/>
        <v>-1</v>
      </c>
    </row>
    <row r="82" spans="1:26" s="24" customFormat="1" hidden="1" outlineLevel="2" x14ac:dyDescent="0.3">
      <c r="A82" s="27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8">
        <f t="shared" si="36"/>
        <v>0</v>
      </c>
      <c r="G82" s="2"/>
      <c r="H82" s="7"/>
      <c r="I82" s="2"/>
      <c r="J82" s="8">
        <f t="shared" si="37"/>
        <v>0</v>
      </c>
      <c r="K82" s="2"/>
      <c r="L82" s="7">
        <f t="shared" si="38"/>
        <v>0</v>
      </c>
      <c r="M82" s="2"/>
      <c r="N82" s="8">
        <f t="shared" si="39"/>
        <v>0</v>
      </c>
      <c r="O82" s="11"/>
      <c r="P82" s="7"/>
      <c r="Q82" s="2"/>
      <c r="R82" s="8">
        <f t="shared" si="40"/>
        <v>0</v>
      </c>
      <c r="S82" s="2"/>
      <c r="T82" s="7">
        <v>-4794.1899999999996</v>
      </c>
      <c r="U82" s="2"/>
      <c r="V82" s="8">
        <f t="shared" si="41"/>
        <v>-5.6085473775839148E-3</v>
      </c>
      <c r="W82" s="2"/>
      <c r="X82" s="7">
        <f t="shared" si="42"/>
        <v>4794.1899999999996</v>
      </c>
      <c r="Y82" s="2"/>
      <c r="Z82" s="8">
        <f t="shared" si="43"/>
        <v>-1</v>
      </c>
    </row>
    <row r="83" spans="1:26" s="28" customFormat="1" outlineLevel="1" collapsed="1" x14ac:dyDescent="0.3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1000</v>
      </c>
      <c r="E83" s="1"/>
      <c r="F83" s="5">
        <f t="shared" si="36"/>
        <v>1.3505678394952767E-3</v>
      </c>
      <c r="G83" s="1"/>
      <c r="H83" s="1">
        <f>SUM(OSRRefH22_8x_0)</f>
        <v>1000</v>
      </c>
      <c r="I83" s="1"/>
      <c r="J83" s="5">
        <f t="shared" si="37"/>
        <v>1.2284080566174257E-3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2000</v>
      </c>
      <c r="Q83" s="1"/>
      <c r="R83" s="5">
        <f t="shared" si="40"/>
        <v>2.5105729642171805E-3</v>
      </c>
      <c r="S83" s="1"/>
      <c r="T83" s="1">
        <f>SUM(OSRRefT22_8x_0)</f>
        <v>2000</v>
      </c>
      <c r="U83" s="1"/>
      <c r="V83" s="5">
        <f t="shared" si="41"/>
        <v>2.3397267849559217E-3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3">
      <c r="A84" s="27"/>
      <c r="B84" s="11" t="str">
        <f>CONCATENATE("          ", "6408", " - ", "INVENTORY ADJUSTMENT")</f>
        <v xml:space="preserve">          6408 - INVENTORY ADJUSTMENT</v>
      </c>
      <c r="C84" s="11"/>
      <c r="D84" s="7">
        <v>1000</v>
      </c>
      <c r="E84" s="2"/>
      <c r="F84" s="8">
        <f t="shared" si="36"/>
        <v>1.3505678394952767E-3</v>
      </c>
      <c r="G84" s="2"/>
      <c r="H84" s="7">
        <v>1000</v>
      </c>
      <c r="I84" s="2"/>
      <c r="J84" s="8">
        <f t="shared" si="37"/>
        <v>1.2284080566174257E-3</v>
      </c>
      <c r="K84" s="2"/>
      <c r="L84" s="7">
        <f t="shared" si="38"/>
        <v>0</v>
      </c>
      <c r="M84" s="2"/>
      <c r="N84" s="8">
        <f t="shared" si="39"/>
        <v>0</v>
      </c>
      <c r="O84" s="11"/>
      <c r="P84" s="7">
        <v>2000</v>
      </c>
      <c r="Q84" s="2"/>
      <c r="R84" s="8">
        <f t="shared" si="40"/>
        <v>2.5105729642171805E-3</v>
      </c>
      <c r="S84" s="2"/>
      <c r="T84" s="7">
        <v>2000</v>
      </c>
      <c r="U84" s="2"/>
      <c r="V84" s="8">
        <f t="shared" si="41"/>
        <v>2.3397267849559217E-3</v>
      </c>
      <c r="W84" s="2"/>
      <c r="X84" s="7">
        <f t="shared" si="42"/>
        <v>0</v>
      </c>
      <c r="Y84" s="2"/>
      <c r="Z84" s="8">
        <f t="shared" si="43"/>
        <v>0</v>
      </c>
    </row>
    <row r="85" spans="1:26" s="28" customFormat="1" outlineLevel="1" collapsed="1" x14ac:dyDescent="0.3">
      <c r="A85" s="29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SUM(OSRRefP22_9x_0)</f>
        <v>2900.53</v>
      </c>
      <c r="Q85" s="1"/>
      <c r="R85" s="5">
        <f t="shared" si="40"/>
        <v>3.6409960999504295E-3</v>
      </c>
      <c r="S85" s="1"/>
      <c r="T85" s="1">
        <f>SUM(OSRRefT22_9x_0)</f>
        <v>22.86</v>
      </c>
      <c r="U85" s="1"/>
      <c r="V85" s="5">
        <f t="shared" si="41"/>
        <v>2.6743077152046184E-5</v>
      </c>
      <c r="W85" s="1"/>
      <c r="X85" s="1">
        <f t="shared" si="42"/>
        <v>2877.67</v>
      </c>
      <c r="Y85" s="1"/>
      <c r="Z85" s="5">
        <f t="shared" si="43"/>
        <v>125.88232720909888</v>
      </c>
    </row>
    <row r="86" spans="1:26" s="24" customFormat="1" hidden="1" outlineLevel="2" x14ac:dyDescent="0.3">
      <c r="A86" s="27"/>
      <c r="B86" s="11" t="str">
        <f>CONCATENATE("          ", "6371", " - ", "COMPUTER SOFTWARE MAINTENANCE")</f>
        <v xml:space="preserve">          6371 - COMPUTER SOFTWARE MAINTENANCE</v>
      </c>
      <c r="C86" s="11"/>
      <c r="D86" s="7">
        <v>0</v>
      </c>
      <c r="E86" s="2"/>
      <c r="F86" s="8">
        <f t="shared" si="36"/>
        <v>0</v>
      </c>
      <c r="G86" s="2"/>
      <c r="H86" s="7"/>
      <c r="I86" s="2"/>
      <c r="J86" s="8">
        <f t="shared" si="37"/>
        <v>0</v>
      </c>
      <c r="K86" s="2"/>
      <c r="L86" s="7">
        <f t="shared" si="38"/>
        <v>0</v>
      </c>
      <c r="M86" s="2"/>
      <c r="N86" s="8">
        <f t="shared" si="39"/>
        <v>0</v>
      </c>
      <c r="O86" s="11"/>
      <c r="P86" s="7">
        <v>2887.5</v>
      </c>
      <c r="Q86" s="2"/>
      <c r="R86" s="8">
        <f t="shared" si="40"/>
        <v>3.6246397170885541E-3</v>
      </c>
      <c r="S86" s="2"/>
      <c r="T86" s="7"/>
      <c r="U86" s="2"/>
      <c r="V86" s="8">
        <f t="shared" si="41"/>
        <v>0</v>
      </c>
      <c r="W86" s="2"/>
      <c r="X86" s="7">
        <f t="shared" si="42"/>
        <v>2887.5</v>
      </c>
      <c r="Y86" s="2"/>
      <c r="Z86" s="8">
        <f t="shared" si="43"/>
        <v>0</v>
      </c>
    </row>
    <row r="87" spans="1:26" s="24" customFormat="1" hidden="1" outlineLevel="2" x14ac:dyDescent="0.3">
      <c r="A87" s="27"/>
      <c r="B87" s="11" t="str">
        <f>CONCATENATE("          ", "6373", " - ", "MAINTENANCE CONTRACTS")</f>
        <v xml:space="preserve">          6373 - MAINTENANCE CONTRACTS</v>
      </c>
      <c r="C87" s="11"/>
      <c r="D87" s="7"/>
      <c r="E87" s="2"/>
      <c r="F87" s="8">
        <f t="shared" si="36"/>
        <v>0</v>
      </c>
      <c r="G87" s="2"/>
      <c r="H87" s="7"/>
      <c r="I87" s="2"/>
      <c r="J87" s="8">
        <f t="shared" si="37"/>
        <v>0</v>
      </c>
      <c r="K87" s="2"/>
      <c r="L87" s="7">
        <f t="shared" si="38"/>
        <v>0</v>
      </c>
      <c r="M87" s="2"/>
      <c r="N87" s="8">
        <f t="shared" si="39"/>
        <v>0</v>
      </c>
      <c r="O87" s="11"/>
      <c r="P87" s="7">
        <v>13.03</v>
      </c>
      <c r="Q87" s="2"/>
      <c r="R87" s="8">
        <f t="shared" si="40"/>
        <v>1.6356382861874928E-5</v>
      </c>
      <c r="S87" s="2"/>
      <c r="T87" s="7">
        <v>22.86</v>
      </c>
      <c r="U87" s="2"/>
      <c r="V87" s="8">
        <f t="shared" si="41"/>
        <v>2.6743077152046184E-5</v>
      </c>
      <c r="W87" s="2"/>
      <c r="X87" s="7">
        <f t="shared" si="42"/>
        <v>-9.83</v>
      </c>
      <c r="Y87" s="2"/>
      <c r="Z87" s="8">
        <f t="shared" si="43"/>
        <v>-0.43000874890638674</v>
      </c>
    </row>
    <row r="88" spans="1:26" s="28" customFormat="1" outlineLevel="1" collapsed="1" x14ac:dyDescent="0.3">
      <c r="A88" s="29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SUM(OSRRefD22_10x_0)</f>
        <v>57</v>
      </c>
      <c r="E88" s="1"/>
      <c r="F88" s="5">
        <f t="shared" ref="F88:F92" si="44">IF(D$12=0,0,D88/D$12)</f>
        <v>7.6982366851230779E-5</v>
      </c>
      <c r="G88" s="1"/>
      <c r="H88" s="1">
        <f>SUM(OSRRefH22_10x_0)</f>
        <v>270</v>
      </c>
      <c r="I88" s="1"/>
      <c r="J88" s="5">
        <f t="shared" ref="J88:J92" si="45">IF(H$12=0,0,H88/H$12)</f>
        <v>3.3167017528670491E-4</v>
      </c>
      <c r="K88" s="1"/>
      <c r="L88" s="1">
        <f t="shared" ref="L88:L92" si="46">+D88-H88</f>
        <v>-213</v>
      </c>
      <c r="M88" s="1"/>
      <c r="N88" s="5">
        <f t="shared" ref="N88:N92" si="47">IF(H88=0,0,L88/H88)</f>
        <v>-0.78888888888888886</v>
      </c>
      <c r="O88" s="14"/>
      <c r="P88" s="1">
        <f>SUM(OSRRefP22_10x_0)</f>
        <v>125.32</v>
      </c>
      <c r="Q88" s="1"/>
      <c r="R88" s="5">
        <f t="shared" ref="R88:R92" si="48">IF(P$12=0,0,P88/P$12)</f>
        <v>1.5731250193784852E-4</v>
      </c>
      <c r="S88" s="1"/>
      <c r="T88" s="1">
        <f>SUM(OSRRefT22_10x_0)</f>
        <v>560</v>
      </c>
      <c r="U88" s="1"/>
      <c r="V88" s="5">
        <f t="shared" ref="V88:V92" si="49">IF(T$12=0,0,T88/T$12)</f>
        <v>6.5512349978765806E-4</v>
      </c>
      <c r="W88" s="1"/>
      <c r="X88" s="1">
        <f t="shared" ref="X88:X92" si="50">+P88-T88</f>
        <v>-434.68</v>
      </c>
      <c r="Y88" s="1"/>
      <c r="Z88" s="5">
        <f t="shared" ref="Z88:Z92" si="51">IF(T88=0,0,X88/T88)</f>
        <v>-0.77621428571428575</v>
      </c>
    </row>
    <row r="89" spans="1:26" s="24" customFormat="1" hidden="1" outlineLevel="2" x14ac:dyDescent="0.3">
      <c r="A89" s="27"/>
      <c r="B89" s="11" t="str">
        <f>CONCATENATE("          ", "6258", " - ", "MEMBERSHIP DUES")</f>
        <v xml:space="preserve">          6258 - MEMBERSHIP DUES</v>
      </c>
      <c r="C89" s="11"/>
      <c r="D89" s="7">
        <v>57</v>
      </c>
      <c r="E89" s="2"/>
      <c r="F89" s="8">
        <f t="shared" si="44"/>
        <v>7.6982366851230779E-5</v>
      </c>
      <c r="G89" s="2"/>
      <c r="H89" s="7">
        <v>270</v>
      </c>
      <c r="I89" s="2"/>
      <c r="J89" s="8">
        <f t="shared" si="45"/>
        <v>3.3167017528670491E-4</v>
      </c>
      <c r="K89" s="2"/>
      <c r="L89" s="7">
        <f t="shared" si="46"/>
        <v>-213</v>
      </c>
      <c r="M89" s="2"/>
      <c r="N89" s="8">
        <f t="shared" si="47"/>
        <v>-0.78888888888888886</v>
      </c>
      <c r="O89" s="11"/>
      <c r="P89" s="7">
        <v>125.32</v>
      </c>
      <c r="Q89" s="2"/>
      <c r="R89" s="8">
        <f t="shared" si="48"/>
        <v>1.5731250193784852E-4</v>
      </c>
      <c r="S89" s="2"/>
      <c r="T89" s="7">
        <v>560</v>
      </c>
      <c r="U89" s="2"/>
      <c r="V89" s="8">
        <f t="shared" si="49"/>
        <v>6.5512349978765806E-4</v>
      </c>
      <c r="W89" s="2"/>
      <c r="X89" s="7">
        <f t="shared" si="50"/>
        <v>-434.68</v>
      </c>
      <c r="Y89" s="2"/>
      <c r="Z89" s="8">
        <f t="shared" si="51"/>
        <v>-0.77621428571428575</v>
      </c>
    </row>
    <row r="90" spans="1:26" s="28" customFormat="1" outlineLevel="1" collapsed="1" x14ac:dyDescent="0.3">
      <c r="A90" s="29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SUM(OSRRefD22_11x_0)</f>
        <v>485.61</v>
      </c>
      <c r="E90" s="1"/>
      <c r="F90" s="5">
        <f t="shared" si="44"/>
        <v>6.5584924853730132E-4</v>
      </c>
      <c r="G90" s="1"/>
      <c r="H90" s="1">
        <f>SUM(OSRRefH22_11x_0)</f>
        <v>197.4</v>
      </c>
      <c r="I90" s="1"/>
      <c r="J90" s="5">
        <f t="shared" si="45"/>
        <v>2.4248775037627983E-4</v>
      </c>
      <c r="K90" s="1"/>
      <c r="L90" s="1">
        <f t="shared" si="46"/>
        <v>288.21000000000004</v>
      </c>
      <c r="M90" s="1"/>
      <c r="N90" s="5">
        <f t="shared" si="47"/>
        <v>1.4600303951367783</v>
      </c>
      <c r="O90" s="14"/>
      <c r="P90" s="1">
        <f>SUM(OSRRefP22_11x_0)</f>
        <v>601.35</v>
      </c>
      <c r="Q90" s="1"/>
      <c r="R90" s="5">
        <f t="shared" si="48"/>
        <v>7.548665260160007E-4</v>
      </c>
      <c r="S90" s="1"/>
      <c r="T90" s="1">
        <f>SUM(OSRRefT22_11x_0)</f>
        <v>990.16000000000008</v>
      </c>
      <c r="U90" s="1"/>
      <c r="V90" s="5">
        <f t="shared" si="49"/>
        <v>1.1583519366959779E-3</v>
      </c>
      <c r="W90" s="1"/>
      <c r="X90" s="1">
        <f t="shared" si="50"/>
        <v>-388.81000000000006</v>
      </c>
      <c r="Y90" s="1"/>
      <c r="Z90" s="5">
        <f t="shared" si="51"/>
        <v>-0.39267391128706475</v>
      </c>
    </row>
    <row r="91" spans="1:26" s="24" customFormat="1" hidden="1" outlineLevel="2" x14ac:dyDescent="0.3">
      <c r="A91" s="27"/>
      <c r="B91" s="11" t="str">
        <f>CONCATENATE("          ", "6241", " - ", "OFFICE EXPENSE")</f>
        <v xml:space="preserve">          6241 - OFFICE EXPENSE</v>
      </c>
      <c r="C91" s="11"/>
      <c r="D91" s="7">
        <v>485.61</v>
      </c>
      <c r="E91" s="2"/>
      <c r="F91" s="8">
        <f t="shared" si="44"/>
        <v>6.5584924853730132E-4</v>
      </c>
      <c r="G91" s="2"/>
      <c r="H91" s="7">
        <v>197.4</v>
      </c>
      <c r="I91" s="2"/>
      <c r="J91" s="8">
        <f t="shared" si="45"/>
        <v>2.4248775037627983E-4</v>
      </c>
      <c r="K91" s="2"/>
      <c r="L91" s="7">
        <f t="shared" si="46"/>
        <v>288.21000000000004</v>
      </c>
      <c r="M91" s="2"/>
      <c r="N91" s="8">
        <f t="shared" si="47"/>
        <v>1.4600303951367783</v>
      </c>
      <c r="O91" s="11"/>
      <c r="P91" s="7">
        <v>601.35</v>
      </c>
      <c r="Q91" s="2"/>
      <c r="R91" s="8">
        <f t="shared" si="48"/>
        <v>7.548665260160007E-4</v>
      </c>
      <c r="S91" s="2"/>
      <c r="T91" s="7">
        <v>357.06</v>
      </c>
      <c r="U91" s="2"/>
      <c r="V91" s="8">
        <f t="shared" si="49"/>
        <v>4.177114229181807E-4</v>
      </c>
      <c r="W91" s="2"/>
      <c r="X91" s="7">
        <f t="shared" si="50"/>
        <v>244.29000000000002</v>
      </c>
      <c r="Y91" s="2"/>
      <c r="Z91" s="8">
        <f t="shared" si="51"/>
        <v>0.68417072760880526</v>
      </c>
    </row>
    <row r="92" spans="1:26" s="24" customFormat="1" hidden="1" outlineLevel="2" x14ac:dyDescent="0.3">
      <c r="A92" s="27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8">
        <f t="shared" si="44"/>
        <v>0</v>
      </c>
      <c r="G92" s="2"/>
      <c r="H92" s="7"/>
      <c r="I92" s="2"/>
      <c r="J92" s="8">
        <f t="shared" si="45"/>
        <v>0</v>
      </c>
      <c r="K92" s="2"/>
      <c r="L92" s="7">
        <f t="shared" si="46"/>
        <v>0</v>
      </c>
      <c r="M92" s="2"/>
      <c r="N92" s="8">
        <f t="shared" si="47"/>
        <v>0</v>
      </c>
      <c r="O92" s="11"/>
      <c r="P92" s="7"/>
      <c r="Q92" s="2"/>
      <c r="R92" s="8">
        <f t="shared" si="48"/>
        <v>0</v>
      </c>
      <c r="S92" s="2"/>
      <c r="T92" s="7">
        <v>633.1</v>
      </c>
      <c r="U92" s="2"/>
      <c r="V92" s="8">
        <f t="shared" si="49"/>
        <v>7.4064051377779698E-4</v>
      </c>
      <c r="W92" s="2"/>
      <c r="X92" s="7">
        <f t="shared" si="50"/>
        <v>-633.1</v>
      </c>
      <c r="Y92" s="2"/>
      <c r="Z92" s="8">
        <f t="shared" si="51"/>
        <v>-1</v>
      </c>
    </row>
    <row r="93" spans="1:26" s="28" customFormat="1" outlineLevel="1" collapsed="1" x14ac:dyDescent="0.3">
      <c r="A93" s="29"/>
      <c r="B93" s="14" t="str">
        <f>CONCATENATE("     ","Telephone/Data Lines                              ")</f>
        <v xml:space="preserve">     Telephone/Data Lines                              </v>
      </c>
      <c r="C93" s="14"/>
      <c r="D93" s="1">
        <f>SUM(OSRRefD22_12x_0)</f>
        <v>820.9</v>
      </c>
      <c r="E93" s="1"/>
      <c r="F93" s="5">
        <f t="shared" ref="F93:F95" si="52">IF(D$12=0,0,D93/D$12)</f>
        <v>1.1086811394416727E-3</v>
      </c>
      <c r="G93" s="1"/>
      <c r="H93" s="1">
        <f>SUM(OSRRefH22_12x_0)</f>
        <v>472.8</v>
      </c>
      <c r="I93" s="1"/>
      <c r="J93" s="5">
        <f t="shared" ref="J93:J95" si="53">IF(H$12=0,0,H93/H$12)</f>
        <v>5.8079132916871886E-4</v>
      </c>
      <c r="K93" s="1"/>
      <c r="L93" s="1">
        <f t="shared" ref="L93:L95" si="54">+D93-H93</f>
        <v>348.09999999999997</v>
      </c>
      <c r="M93" s="1"/>
      <c r="N93" s="5">
        <f t="shared" ref="N93:N95" si="55">IF(H93=0,0,L93/H93)</f>
        <v>0.73625211505922161</v>
      </c>
      <c r="O93" s="14"/>
      <c r="P93" s="1">
        <f>SUM(OSRRefP22_12x_0)</f>
        <v>1428.3</v>
      </c>
      <c r="Q93" s="1"/>
      <c r="R93" s="5">
        <f t="shared" ref="R93:R95" si="56">IF(P$12=0,0,P93/P$12)</f>
        <v>1.7929256823956993E-3</v>
      </c>
      <c r="S93" s="1"/>
      <c r="T93" s="1">
        <f>SUM(OSRRefT22_12x_0)</f>
        <v>1233.3</v>
      </c>
      <c r="U93" s="1"/>
      <c r="V93" s="5">
        <f t="shared" ref="V93:V95" si="57">IF(T$12=0,0,T93/T$12)</f>
        <v>1.4427925219430691E-3</v>
      </c>
      <c r="W93" s="1"/>
      <c r="X93" s="1">
        <f t="shared" ref="X93:X95" si="58">+P93-T93</f>
        <v>195</v>
      </c>
      <c r="Y93" s="1"/>
      <c r="Z93" s="5">
        <f t="shared" ref="Z93:Z95" si="59">IF(T93=0,0,X93/T93)</f>
        <v>0.15811238141571393</v>
      </c>
    </row>
    <row r="94" spans="1:26" s="24" customFormat="1" hidden="1" outlineLevel="2" x14ac:dyDescent="0.3">
      <c r="A94" s="27"/>
      <c r="B94" s="11" t="str">
        <f>CONCATENATE("          ", "6303", " - ", "DATA PHONE LINES")</f>
        <v xml:space="preserve">          6303 - DATA PHONE LINES</v>
      </c>
      <c r="C94" s="11"/>
      <c r="D94" s="7"/>
      <c r="E94" s="2"/>
      <c r="F94" s="8">
        <f t="shared" si="52"/>
        <v>0</v>
      </c>
      <c r="G94" s="2"/>
      <c r="H94" s="7"/>
      <c r="I94" s="2"/>
      <c r="J94" s="8">
        <f t="shared" si="53"/>
        <v>0</v>
      </c>
      <c r="K94" s="2"/>
      <c r="L94" s="7">
        <f t="shared" si="54"/>
        <v>0</v>
      </c>
      <c r="M94" s="2"/>
      <c r="N94" s="8">
        <f t="shared" si="55"/>
        <v>0</v>
      </c>
      <c r="O94" s="11"/>
      <c r="P94" s="7">
        <v>295</v>
      </c>
      <c r="Q94" s="2"/>
      <c r="R94" s="8">
        <f t="shared" si="56"/>
        <v>3.7030951222203414E-4</v>
      </c>
      <c r="S94" s="2"/>
      <c r="T94" s="7">
        <v>295</v>
      </c>
      <c r="U94" s="2"/>
      <c r="V94" s="8">
        <f t="shared" si="57"/>
        <v>3.4510970078099846E-4</v>
      </c>
      <c r="W94" s="2"/>
      <c r="X94" s="7">
        <f t="shared" si="58"/>
        <v>0</v>
      </c>
      <c r="Y94" s="2"/>
      <c r="Z94" s="8">
        <f t="shared" si="59"/>
        <v>0</v>
      </c>
    </row>
    <row r="95" spans="1:26" s="24" customFormat="1" hidden="1" outlineLevel="2" x14ac:dyDescent="0.3">
      <c r="A95" s="27"/>
      <c r="B95" s="11" t="str">
        <f>CONCATENATE("          ", "6309", " - ", "TELEPHONE")</f>
        <v xml:space="preserve">          6309 - TELEPHONE</v>
      </c>
      <c r="C95" s="11"/>
      <c r="D95" s="7">
        <v>820.9</v>
      </c>
      <c r="E95" s="2"/>
      <c r="F95" s="8">
        <f t="shared" si="52"/>
        <v>1.1086811394416727E-3</v>
      </c>
      <c r="G95" s="2"/>
      <c r="H95" s="7">
        <v>472.8</v>
      </c>
      <c r="I95" s="2"/>
      <c r="J95" s="8">
        <f t="shared" si="53"/>
        <v>5.8079132916871886E-4</v>
      </c>
      <c r="K95" s="2"/>
      <c r="L95" s="7">
        <f t="shared" si="54"/>
        <v>348.09999999999997</v>
      </c>
      <c r="M95" s="2"/>
      <c r="N95" s="8">
        <f t="shared" si="55"/>
        <v>0.73625211505922161</v>
      </c>
      <c r="O95" s="11"/>
      <c r="P95" s="7">
        <v>1133.3</v>
      </c>
      <c r="Q95" s="2"/>
      <c r="R95" s="8">
        <f t="shared" si="56"/>
        <v>1.4226161701736653E-3</v>
      </c>
      <c r="S95" s="2"/>
      <c r="T95" s="7">
        <v>938.3</v>
      </c>
      <c r="U95" s="2"/>
      <c r="V95" s="8">
        <f t="shared" si="57"/>
        <v>1.0976828211620706E-3</v>
      </c>
      <c r="W95" s="2"/>
      <c r="X95" s="7">
        <f t="shared" si="58"/>
        <v>195</v>
      </c>
      <c r="Y95" s="2"/>
      <c r="Z95" s="8">
        <f t="shared" si="59"/>
        <v>0.20782265799850794</v>
      </c>
    </row>
    <row r="96" spans="1:26" s="28" customFormat="1" outlineLevel="1" collapsed="1" x14ac:dyDescent="0.3">
      <c r="A96" s="29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SUM(OSRRefD22_13x_0)</f>
        <v>0</v>
      </c>
      <c r="E96" s="1"/>
      <c r="F96" s="5">
        <f t="shared" ref="F96:F97" si="60">IF(D$12=0,0,D96/D$12)</f>
        <v>0</v>
      </c>
      <c r="G96" s="1"/>
      <c r="H96" s="1">
        <f>SUM(OSRRefH22_13x_0)</f>
        <v>0</v>
      </c>
      <c r="I96" s="1"/>
      <c r="J96" s="5">
        <f t="shared" ref="J96:J97" si="61">IF(H$12=0,0,H96/H$12)</f>
        <v>0</v>
      </c>
      <c r="K96" s="1"/>
      <c r="L96" s="1">
        <f t="shared" ref="L96:L97" si="62">+D96-H96</f>
        <v>0</v>
      </c>
      <c r="M96" s="1"/>
      <c r="N96" s="5">
        <f t="shared" ref="N96:N97" si="63">IF(H96=0,0,L96/H96)</f>
        <v>0</v>
      </c>
      <c r="O96" s="14"/>
      <c r="P96" s="1">
        <f>SUM(OSRRefP22_13x_0)</f>
        <v>0</v>
      </c>
      <c r="Q96" s="1"/>
      <c r="R96" s="5">
        <f t="shared" ref="R96:R97" si="64">IF(P$12=0,0,P96/P$12)</f>
        <v>0</v>
      </c>
      <c r="S96" s="1"/>
      <c r="T96" s="1">
        <f>SUM(OSRRefT22_13x_0)</f>
        <v>0.16</v>
      </c>
      <c r="U96" s="1"/>
      <c r="V96" s="5">
        <f t="shared" ref="V96:V97" si="65">IF(T$12=0,0,T96/T$12)</f>
        <v>1.8717814279647373E-7</v>
      </c>
      <c r="W96" s="1"/>
      <c r="X96" s="1">
        <f t="shared" ref="X96:X97" si="66">+P96-T96</f>
        <v>-0.16</v>
      </c>
      <c r="Y96" s="1"/>
      <c r="Z96" s="5">
        <f t="shared" ref="Z96:Z97" si="67">IF(T96=0,0,X96/T96)</f>
        <v>-1</v>
      </c>
    </row>
    <row r="97" spans="1:26" s="24" customFormat="1" hidden="1" outlineLevel="2" x14ac:dyDescent="0.3">
      <c r="A97" s="27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8">
        <f t="shared" si="60"/>
        <v>0</v>
      </c>
      <c r="G97" s="2"/>
      <c r="H97" s="7"/>
      <c r="I97" s="2"/>
      <c r="J97" s="8">
        <f t="shared" si="61"/>
        <v>0</v>
      </c>
      <c r="K97" s="2"/>
      <c r="L97" s="7">
        <f t="shared" si="62"/>
        <v>0</v>
      </c>
      <c r="M97" s="2"/>
      <c r="N97" s="8">
        <f t="shared" si="63"/>
        <v>0</v>
      </c>
      <c r="O97" s="11"/>
      <c r="P97" s="7"/>
      <c r="Q97" s="2"/>
      <c r="R97" s="8">
        <f t="shared" si="64"/>
        <v>0</v>
      </c>
      <c r="S97" s="2"/>
      <c r="T97" s="7">
        <v>0.16</v>
      </c>
      <c r="U97" s="2"/>
      <c r="V97" s="8">
        <f t="shared" si="65"/>
        <v>1.8717814279647373E-7</v>
      </c>
      <c r="W97" s="2"/>
      <c r="X97" s="7">
        <f t="shared" si="66"/>
        <v>-0.16</v>
      </c>
      <c r="Y97" s="2"/>
      <c r="Z97" s="8">
        <f t="shared" si="67"/>
        <v>-1</v>
      </c>
    </row>
    <row r="98" spans="1:26" s="61" customFormat="1" x14ac:dyDescent="0.3">
      <c r="A98" s="37"/>
      <c r="B98" s="37"/>
      <c r="C98" s="37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7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collapsed="1" x14ac:dyDescent="0.3">
      <c r="A99" s="10"/>
      <c r="B99" s="26" t="s">
        <v>292</v>
      </c>
      <c r="C99" s="10"/>
      <c r="D99" s="4">
        <f>SUM(OSRRefD25x_0)</f>
        <v>28343.090000000004</v>
      </c>
      <c r="E99" s="4"/>
      <c r="F99" s="12">
        <f t="shared" ref="F99:F102" si="68">IF(D$12=0,0,D99/D$12)</f>
        <v>3.8279265825920186E-2</v>
      </c>
      <c r="G99" s="4"/>
      <c r="H99" s="4">
        <f>SUM(OSRRefH25x_0)</f>
        <v>1890.48</v>
      </c>
      <c r="I99" s="4"/>
      <c r="J99" s="12">
        <f t="shared" ref="J99:J102" si="69">IF(H$12=0,0,H99/H$12)</f>
        <v>2.3222808628741106E-3</v>
      </c>
      <c r="K99" s="4"/>
      <c r="L99" s="4">
        <f t="shared" ref="L99:L102" si="70">+D99-H99</f>
        <v>26452.610000000004</v>
      </c>
      <c r="M99" s="4"/>
      <c r="N99" s="12">
        <f t="shared" ref="N99:N102" si="71">IF(H99=0,0,L99/H99)</f>
        <v>13.992536287080531</v>
      </c>
      <c r="O99" s="10"/>
      <c r="P99" s="4">
        <f>SUM(OSRRefP25x_0)</f>
        <v>28975.03</v>
      </c>
      <c r="Q99" s="4"/>
      <c r="R99" s="12">
        <f t="shared" ref="R99:R102" si="72">IF(P$12=0,0,P99/P$12)</f>
        <v>3.6371963477690866E-2</v>
      </c>
      <c r="S99" s="4"/>
      <c r="T99" s="4">
        <f>SUM(OSRRefT25x_0)</f>
        <v>3947.41</v>
      </c>
      <c r="U99" s="4"/>
      <c r="V99" s="12">
        <f t="shared" ref="V99:V102" si="73">IF(T$12=0,0,T99/T$12)</f>
        <v>4.6179304541014276E-3</v>
      </c>
      <c r="W99" s="4"/>
      <c r="X99" s="4">
        <f t="shared" ref="X99:X102" si="74">+P99-T99</f>
        <v>25027.62</v>
      </c>
      <c r="Y99" s="4"/>
      <c r="Z99" s="12">
        <f t="shared" ref="Z99:Z102" si="75">IF(T99=0,0,X99/T99)</f>
        <v>6.3402636158899126</v>
      </c>
    </row>
    <row r="100" spans="1:26" s="24" customFormat="1" hidden="1" outlineLevel="1" x14ac:dyDescent="0.3">
      <c r="A100" s="44"/>
      <c r="B100" s="11" t="str">
        <f>CONCATENATE("          ", "9150", " - ", "MISC. INCOME")</f>
        <v xml:space="preserve">          9150 - MISC. INCOME</v>
      </c>
      <c r="C100" s="11"/>
      <c r="D100" s="2">
        <f>--15850.62</f>
        <v>15850.62</v>
      </c>
      <c r="E100" s="2"/>
      <c r="F100" s="19">
        <f t="shared" si="68"/>
        <v>2.1407337608060625E-2</v>
      </c>
      <c r="G100" s="2"/>
      <c r="H100" s="2">
        <f>--1818.48</f>
        <v>1818.48</v>
      </c>
      <c r="I100" s="2"/>
      <c r="J100" s="19">
        <f t="shared" si="69"/>
        <v>2.233835482797656E-3</v>
      </c>
      <c r="K100" s="2"/>
      <c r="L100" s="2">
        <f t="shared" si="70"/>
        <v>14032.140000000001</v>
      </c>
      <c r="M100" s="2"/>
      <c r="N100" s="19">
        <f t="shared" si="71"/>
        <v>7.7164115085126044</v>
      </c>
      <c r="O100" s="11"/>
      <c r="P100" s="2">
        <f>--16415.64</f>
        <v>16415.64</v>
      </c>
      <c r="Q100" s="2"/>
      <c r="R100" s="19">
        <f t="shared" si="72"/>
        <v>2.0606330987161057E-2</v>
      </c>
      <c r="S100" s="2"/>
      <c r="T100" s="2">
        <f>--2401.02</f>
        <v>2401.02</v>
      </c>
      <c r="U100" s="2"/>
      <c r="V100" s="19">
        <f t="shared" si="73"/>
        <v>2.8088654026074333E-3</v>
      </c>
      <c r="W100" s="2"/>
      <c r="X100" s="2">
        <f t="shared" si="74"/>
        <v>14014.619999999999</v>
      </c>
      <c r="Y100" s="2"/>
      <c r="Z100" s="19">
        <f t="shared" si="75"/>
        <v>5.836944298673064</v>
      </c>
    </row>
    <row r="101" spans="1:26" s="24" customFormat="1" hidden="1" outlineLevel="1" x14ac:dyDescent="0.3">
      <c r="A101" s="44"/>
      <c r="B101" s="11" t="str">
        <f>CONCATENATE("          ", "9151", " - ", "MISC. INCOME")</f>
        <v xml:space="preserve">          9151 - MISC. INCOME</v>
      </c>
      <c r="C101" s="11"/>
      <c r="D101" s="2">
        <f>--11556.36</f>
        <v>11556.36</v>
      </c>
      <c r="E101" s="2"/>
      <c r="F101" s="19">
        <f t="shared" si="68"/>
        <v>1.5607648157629637E-2</v>
      </c>
      <c r="G101" s="2"/>
      <c r="H101" s="2">
        <f>0</f>
        <v>0</v>
      </c>
      <c r="I101" s="2"/>
      <c r="J101" s="19">
        <f t="shared" si="69"/>
        <v>0</v>
      </c>
      <c r="K101" s="2"/>
      <c r="L101" s="2">
        <f t="shared" si="70"/>
        <v>11556.36</v>
      </c>
      <c r="M101" s="2"/>
      <c r="N101" s="19">
        <f t="shared" si="71"/>
        <v>0</v>
      </c>
      <c r="O101" s="11"/>
      <c r="P101" s="2">
        <f>--11556.36</f>
        <v>11556.36</v>
      </c>
      <c r="Q101" s="2"/>
      <c r="R101" s="19">
        <f t="shared" si="72"/>
        <v>1.4506542490380428E-2</v>
      </c>
      <c r="S101" s="2"/>
      <c r="T101" s="2">
        <f>0</f>
        <v>0</v>
      </c>
      <c r="U101" s="2"/>
      <c r="V101" s="19">
        <f t="shared" si="73"/>
        <v>0</v>
      </c>
      <c r="W101" s="2"/>
      <c r="X101" s="2">
        <f t="shared" si="74"/>
        <v>11556.36</v>
      </c>
      <c r="Y101" s="2"/>
      <c r="Z101" s="19">
        <f t="shared" si="75"/>
        <v>0</v>
      </c>
    </row>
    <row r="102" spans="1:26" s="24" customFormat="1" hidden="1" outlineLevel="1" x14ac:dyDescent="0.3">
      <c r="A102" s="44"/>
      <c r="B102" s="11" t="str">
        <f>CONCATENATE("          ", "9152", " - ", "MISC. INCOME")</f>
        <v xml:space="preserve">          9152 - MISC. INCOME</v>
      </c>
      <c r="C102" s="11"/>
      <c r="D102" s="2">
        <f>--936.11</f>
        <v>936.11</v>
      </c>
      <c r="E102" s="2"/>
      <c r="F102" s="19">
        <f t="shared" si="68"/>
        <v>1.2642800602299235E-3</v>
      </c>
      <c r="G102" s="2"/>
      <c r="H102" s="2">
        <f>--72</f>
        <v>72</v>
      </c>
      <c r="I102" s="2"/>
      <c r="J102" s="19">
        <f t="shared" si="69"/>
        <v>8.8445380076454641E-5</v>
      </c>
      <c r="K102" s="2"/>
      <c r="L102" s="2">
        <f t="shared" si="70"/>
        <v>864.11</v>
      </c>
      <c r="M102" s="2"/>
      <c r="N102" s="19">
        <f t="shared" si="71"/>
        <v>12.001527777777778</v>
      </c>
      <c r="O102" s="11"/>
      <c r="P102" s="2">
        <f>--1003.03</f>
        <v>1003.03</v>
      </c>
      <c r="Q102" s="2"/>
      <c r="R102" s="19">
        <f t="shared" si="72"/>
        <v>1.2590900001493792E-3</v>
      </c>
      <c r="S102" s="2"/>
      <c r="T102" s="2">
        <f>--1546.39</f>
        <v>1546.39</v>
      </c>
      <c r="U102" s="2"/>
      <c r="V102" s="19">
        <f t="shared" si="73"/>
        <v>1.8090650514939941E-3</v>
      </c>
      <c r="W102" s="2"/>
      <c r="X102" s="2">
        <f t="shared" si="74"/>
        <v>-543.36000000000013</v>
      </c>
      <c r="Y102" s="2"/>
      <c r="Z102" s="19">
        <f t="shared" si="75"/>
        <v>-0.35137319822295804</v>
      </c>
    </row>
    <row r="103" spans="1:26" x14ac:dyDescent="0.3">
      <c r="A103" s="9"/>
      <c r="B103" s="10"/>
      <c r="C103" s="10"/>
      <c r="D103" s="3"/>
      <c r="E103" s="3"/>
      <c r="F103" s="6"/>
      <c r="G103" s="3"/>
      <c r="H103" s="3"/>
      <c r="I103" s="3"/>
      <c r="J103" s="6"/>
      <c r="K103" s="3"/>
      <c r="L103" s="3"/>
      <c r="M103" s="3"/>
      <c r="N103" s="6"/>
      <c r="O103" s="10"/>
      <c r="P103" s="3"/>
      <c r="Q103" s="3"/>
      <c r="R103" s="6"/>
      <c r="S103" s="3"/>
      <c r="T103" s="3"/>
      <c r="U103" s="3"/>
      <c r="V103" s="6"/>
      <c r="W103" s="3"/>
      <c r="X103" s="3"/>
      <c r="Y103" s="3"/>
      <c r="Z103" s="6"/>
    </row>
    <row r="104" spans="1:26" s="23" customFormat="1" x14ac:dyDescent="0.3">
      <c r="A104" s="10"/>
      <c r="B104" s="25" t="s">
        <v>276</v>
      </c>
      <c r="C104" s="25"/>
      <c r="D104" s="20">
        <f>+D50-D52+D99</f>
        <v>116110.72999999995</v>
      </c>
      <c r="E104" s="13"/>
      <c r="F104" s="22">
        <f>IF(D$12=0,0,D104/D$12)</f>
        <v>0.15681541775831934</v>
      </c>
      <c r="G104" s="13"/>
      <c r="H104" s="20">
        <f>+H50-H52+H99</f>
        <v>186193.67999999988</v>
      </c>
      <c r="I104" s="13"/>
      <c r="J104" s="22">
        <f>IF(H$12=0,0,H104/H$12)</f>
        <v>0.22872181660324667</v>
      </c>
      <c r="K104" s="15"/>
      <c r="L104" s="20">
        <f>+D104-H104</f>
        <v>-70082.949999999924</v>
      </c>
      <c r="M104" s="15"/>
      <c r="N104" s="22">
        <f>IF(H104=0,0,L104/H104)</f>
        <v>-0.37639811404984297</v>
      </c>
      <c r="O104" s="26"/>
      <c r="P104" s="20">
        <f>+P50-P52+P99</f>
        <v>81111.810000000056</v>
      </c>
      <c r="Q104" s="13"/>
      <c r="R104" s="22">
        <f>IF(P$12=0,0,P104/P$12)</f>
        <v>0.10181855863236045</v>
      </c>
      <c r="S104" s="13"/>
      <c r="T104" s="20">
        <f>+T50-T52+T99</f>
        <v>162757.4199999999</v>
      </c>
      <c r="U104" s="13"/>
      <c r="V104" s="22">
        <f>IF(T$12=0,0,T104/T$12)</f>
        <v>0.19040394751216019</v>
      </c>
      <c r="W104" s="15"/>
      <c r="X104" s="20">
        <f>+P104-T104</f>
        <v>-81645.609999999841</v>
      </c>
      <c r="Y104" s="15"/>
      <c r="Z104" s="22">
        <f>IF(T104=0,0,X104/T104)</f>
        <v>-0.50163986379238434</v>
      </c>
    </row>
    <row r="105" spans="1:26" x14ac:dyDescent="0.3">
      <c r="A105" s="9"/>
      <c r="B105" s="10"/>
      <c r="C105" s="9"/>
      <c r="D105" s="3"/>
      <c r="E105" s="3"/>
      <c r="F105" s="6"/>
      <c r="G105" s="3"/>
      <c r="H105" s="3"/>
      <c r="I105" s="3"/>
      <c r="J105" s="6"/>
      <c r="K105" s="3"/>
      <c r="L105" s="3"/>
      <c r="M105" s="3"/>
      <c r="N105" s="6"/>
      <c r="P105" s="3"/>
      <c r="Q105" s="3"/>
      <c r="R105" s="6"/>
      <c r="S105" s="3"/>
      <c r="T105" s="3"/>
      <c r="U105" s="3"/>
      <c r="V105" s="6"/>
      <c r="W105" s="3"/>
      <c r="X105" s="3"/>
      <c r="Y105" s="3"/>
      <c r="Z105" s="6"/>
    </row>
    <row r="106" spans="1:26" s="23" customFormat="1" x14ac:dyDescent="0.3">
      <c r="A106" s="51"/>
      <c r="B106" s="10" t="s">
        <v>127</v>
      </c>
      <c r="C106" s="10"/>
      <c r="D106" s="4">
        <v>93078.07</v>
      </c>
      <c r="E106" s="4"/>
      <c r="F106" s="12">
        <f>IF(D$12=0,0,D106/D$12)</f>
        <v>0.12570824790429014</v>
      </c>
      <c r="G106" s="4"/>
      <c r="H106" s="4">
        <v>124358.11</v>
      </c>
      <c r="I106" s="4"/>
      <c r="J106" s="12">
        <f>IF(H$12=0,0,H106/H$12)</f>
        <v>0.15276250422971605</v>
      </c>
      <c r="K106" s="4"/>
      <c r="L106" s="4">
        <f>+D106-H106</f>
        <v>-31280.039999999994</v>
      </c>
      <c r="M106" s="4"/>
      <c r="N106" s="12">
        <f>IF(H106=0,0,L106/H106)</f>
        <v>-0.25153196683352613</v>
      </c>
      <c r="O106" s="10"/>
      <c r="P106" s="4">
        <v>119042.98</v>
      </c>
      <c r="Q106" s="4"/>
      <c r="R106" s="12">
        <f>IF(P$12=0,0,P106/P$12)</f>
        <v>0.14943304358392326</v>
      </c>
      <c r="S106" s="4"/>
      <c r="T106" s="4">
        <v>144321.73000000001</v>
      </c>
      <c r="U106" s="4"/>
      <c r="V106" s="12">
        <f>IF(T$12=0,0,T106/T$12)</f>
        <v>0.1688367086660883</v>
      </c>
      <c r="W106" s="4"/>
      <c r="X106" s="4">
        <f>+P106-T106</f>
        <v>-25278.750000000015</v>
      </c>
      <c r="Y106" s="4"/>
      <c r="Z106" s="12">
        <f>IF(T106=0,0,X106/T106)</f>
        <v>-0.17515553617601462</v>
      </c>
    </row>
    <row r="107" spans="1:26" x14ac:dyDescent="0.3">
      <c r="A107" s="9"/>
      <c r="B107" s="10"/>
      <c r="C107" s="10"/>
      <c r="D107" s="3"/>
      <c r="E107" s="3"/>
      <c r="F107" s="6"/>
      <c r="G107" s="3"/>
      <c r="H107" s="3"/>
      <c r="I107" s="3"/>
      <c r="J107" s="6"/>
      <c r="K107" s="3"/>
      <c r="L107" s="3"/>
      <c r="M107" s="3"/>
      <c r="N107" s="6"/>
      <c r="O107" s="10"/>
      <c r="P107" s="3"/>
      <c r="Q107" s="3"/>
      <c r="R107" s="6"/>
      <c r="S107" s="3"/>
      <c r="T107" s="3"/>
      <c r="U107" s="3"/>
      <c r="V107" s="6"/>
      <c r="W107" s="3"/>
      <c r="X107" s="3"/>
      <c r="Y107" s="3"/>
      <c r="Z107" s="6"/>
    </row>
    <row r="108" spans="1:26" s="23" customFormat="1" ht="15" thickBot="1" x14ac:dyDescent="0.35">
      <c r="A108" s="10"/>
      <c r="B108" s="25" t="s">
        <v>125</v>
      </c>
      <c r="C108" s="25"/>
      <c r="D108" s="33">
        <f>+D104-D106</f>
        <v>23032.659999999945</v>
      </c>
      <c r="E108" s="13"/>
      <c r="F108" s="36">
        <f>IF(D$12=0,0,D108/D$12)</f>
        <v>3.1107169854029205E-2</v>
      </c>
      <c r="G108" s="13"/>
      <c r="H108" s="33">
        <f>+H104-H106</f>
        <v>61835.569999999876</v>
      </c>
      <c r="I108" s="13"/>
      <c r="J108" s="36">
        <f>IF(H$12=0,0,H108/H$12)</f>
        <v>7.5959312373530638E-2</v>
      </c>
      <c r="K108" s="15"/>
      <c r="L108" s="33">
        <f>D108-H108</f>
        <v>-38802.909999999931</v>
      </c>
      <c r="M108" s="15"/>
      <c r="N108" s="36">
        <f>IF(H108=0,0,L108/H108)</f>
        <v>-0.62751762456463178</v>
      </c>
      <c r="O108" s="26"/>
      <c r="P108" s="33">
        <f>+P104-P106</f>
        <v>-37931.16999999994</v>
      </c>
      <c r="Q108" s="13"/>
      <c r="R108" s="36">
        <f>IF(P$12=0,0,P108/P$12)</f>
        <v>-4.761448495156282E-2</v>
      </c>
      <c r="S108" s="13"/>
      <c r="T108" s="33">
        <f>+T104-T106</f>
        <v>18435.689999999886</v>
      </c>
      <c r="U108" s="13"/>
      <c r="V108" s="36">
        <f>IF(T$12=0,0,T108/T$12)</f>
        <v>2.1567238846071885E-2</v>
      </c>
      <c r="W108" s="15"/>
      <c r="X108" s="33">
        <f>P108-T108</f>
        <v>-56366.859999999826</v>
      </c>
      <c r="Y108" s="15"/>
      <c r="Z108" s="36">
        <f>IF(T108=0,0,X108/T108)</f>
        <v>-3.0574857789429184</v>
      </c>
    </row>
    <row r="109" spans="1:26" ht="15" thickTop="1" x14ac:dyDescent="0.3">
      <c r="A109" s="9"/>
      <c r="B109" s="9"/>
      <c r="C109" s="9"/>
      <c r="D109" s="3"/>
      <c r="E109" s="3"/>
      <c r="F109" s="6"/>
      <c r="G109" s="3"/>
      <c r="H109" s="3"/>
      <c r="I109" s="3"/>
      <c r="J109" s="6"/>
      <c r="K109" s="3"/>
      <c r="L109" s="3"/>
      <c r="M109" s="3"/>
      <c r="N109" s="6"/>
      <c r="P109" s="3"/>
      <c r="Q109" s="3"/>
      <c r="R109" s="6"/>
      <c r="S109" s="3"/>
      <c r="T109" s="3"/>
      <c r="U109" s="3"/>
      <c r="V109" s="6"/>
      <c r="W109" s="3"/>
      <c r="X109" s="3"/>
      <c r="Y109" s="3"/>
      <c r="Z109" s="6"/>
    </row>
    <row r="110" spans="1:26" x14ac:dyDescent="0.3">
      <c r="A110" s="9"/>
      <c r="B110" s="9"/>
      <c r="C110" s="9"/>
      <c r="D110" s="3"/>
      <c r="E110" s="3"/>
      <c r="F110" s="6"/>
      <c r="G110" s="3"/>
      <c r="H110" s="3"/>
      <c r="I110" s="3"/>
      <c r="J110" s="6"/>
      <c r="K110" s="3"/>
      <c r="L110" s="3"/>
      <c r="M110" s="3"/>
      <c r="N110" s="6"/>
      <c r="P110" s="3"/>
      <c r="Q110" s="3"/>
      <c r="R110" s="6"/>
      <c r="S110" s="3"/>
      <c r="T110" s="3"/>
      <c r="U110" s="3"/>
      <c r="V110" s="6"/>
      <c r="W110" s="3"/>
      <c r="X110" s="3"/>
      <c r="Y110" s="3"/>
      <c r="Z110" s="6"/>
    </row>
    <row r="111" spans="1:26" s="23" customFormat="1" ht="15" thickBot="1" x14ac:dyDescent="0.35">
      <c r="A111" s="10"/>
      <c r="B111" s="25" t="s">
        <v>293</v>
      </c>
      <c r="C111" s="25"/>
      <c r="D111" s="30">
        <f>SUM(D108:D110)</f>
        <v>23032.659999999945</v>
      </c>
      <c r="E111" s="13"/>
      <c r="F111" s="31">
        <f>IF(D$12=0,0,D111/D$12)</f>
        <v>3.1107169854029205E-2</v>
      </c>
      <c r="G111" s="13"/>
      <c r="H111" s="30">
        <f>SUM(H108:H110)</f>
        <v>61835.569999999876</v>
      </c>
      <c r="I111" s="13"/>
      <c r="J111" s="31">
        <f>IF(H$12=0,0,H111/H$12)</f>
        <v>7.5959312373530638E-2</v>
      </c>
      <c r="K111" s="15"/>
      <c r="L111" s="30">
        <f>+D111-H111</f>
        <v>-38802.909999999931</v>
      </c>
      <c r="M111" s="15"/>
      <c r="N111" s="31">
        <f>IF(H111=0,0,L111/H111)</f>
        <v>-0.62751762456463178</v>
      </c>
      <c r="O111" s="26"/>
      <c r="P111" s="30">
        <f>SUM(P108:P110)</f>
        <v>-37931.16999999994</v>
      </c>
      <c r="Q111" s="13"/>
      <c r="R111" s="31">
        <f>IF(P$12=0,0,P111/P$12)</f>
        <v>-4.761448495156282E-2</v>
      </c>
      <c r="S111" s="13"/>
      <c r="T111" s="30">
        <f>SUM(T108:T110)</f>
        <v>18435.689999999886</v>
      </c>
      <c r="U111" s="13"/>
      <c r="V111" s="31">
        <f>IF(T$12=0,0,T111/T$12)</f>
        <v>2.1567238846071885E-2</v>
      </c>
      <c r="W111" s="15"/>
      <c r="X111" s="30">
        <f>+P111-T111</f>
        <v>-56366.859999999826</v>
      </c>
      <c r="Y111" s="15"/>
      <c r="Z111" s="31">
        <f>IF(T111=0,0,X111/T111)</f>
        <v>-3.0574857789429184</v>
      </c>
    </row>
    <row r="112" spans="1:26" ht="15" thickTop="1" x14ac:dyDescent="0.3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3">
      <c r="A113" s="9"/>
      <c r="B113" s="59">
        <v>44470.840542939812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3">
      <c r="A114" s="9"/>
      <c r="B114" s="58" t="s">
        <v>56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3">
      <c r="A115" s="9"/>
      <c r="B115" s="52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3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","324", " - ", "Textbook Rental")</f>
        <v>Department 324 - Textbook Rental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269241.33999999997</v>
      </c>
      <c r="E12" s="4"/>
      <c r="F12" s="12"/>
      <c r="G12" s="4"/>
      <c r="H12" s="4">
        <f>SUM(OSRRefH13x_0)</f>
        <v>412046.82</v>
      </c>
      <c r="I12" s="4"/>
      <c r="J12" s="12"/>
      <c r="K12" s="4"/>
      <c r="L12" s="4">
        <f t="shared" ref="L12:L16" si="0">+D12-H12</f>
        <v>-142805.48000000004</v>
      </c>
      <c r="M12" s="4"/>
      <c r="N12" s="12">
        <f t="shared" ref="N12:N16" si="1">IF(H12=0,0,L12/H12)</f>
        <v>-0.34657585756880743</v>
      </c>
      <c r="O12" s="10"/>
      <c r="P12" s="4">
        <f>SUM(OSRRefP13x_0)</f>
        <v>275154.56</v>
      </c>
      <c r="Q12" s="4"/>
      <c r="R12" s="12"/>
      <c r="S12" s="4"/>
      <c r="T12" s="4">
        <f>SUM(OSRRefT13x_0)</f>
        <v>419346.45999999996</v>
      </c>
      <c r="U12" s="4"/>
      <c r="V12" s="12"/>
      <c r="W12" s="4"/>
      <c r="X12" s="4">
        <f t="shared" ref="X12:X16" si="2">+P12-T12</f>
        <v>-144191.89999999997</v>
      </c>
      <c r="Y12" s="4"/>
      <c r="Z12" s="12">
        <f t="shared" ref="Z12:Z16" si="3">IF(T12=0,0,X12/T12)</f>
        <v>-0.34384909318180479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--167084.93</f>
        <v>167084.93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167084.93</v>
      </c>
      <c r="M13" s="2"/>
      <c r="N13" s="19">
        <f t="shared" si="1"/>
        <v>0</v>
      </c>
      <c r="O13" s="11"/>
      <c r="P13" s="2">
        <f>--170993.98</f>
        <v>170993.98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170993.98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--145338.32</f>
        <v>145338.32</v>
      </c>
      <c r="I14" s="2"/>
      <c r="J14" s="19"/>
      <c r="K14" s="2"/>
      <c r="L14" s="2">
        <f t="shared" si="0"/>
        <v>-145338.32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--147251.27</f>
        <v>147251.26999999999</v>
      </c>
      <c r="U14" s="2"/>
      <c r="V14" s="19"/>
      <c r="W14" s="2"/>
      <c r="X14" s="2">
        <f t="shared" si="2"/>
        <v>-147251.26999999999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--116348.47</f>
        <v>116348.47</v>
      </c>
      <c r="I15" s="2"/>
      <c r="J15" s="19"/>
      <c r="K15" s="2"/>
      <c r="L15" s="2">
        <f t="shared" si="0"/>
        <v>-116348.47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--118696.86</f>
        <v>118696.86</v>
      </c>
      <c r="U15" s="2"/>
      <c r="V15" s="19"/>
      <c r="W15" s="2"/>
      <c r="X15" s="2">
        <f t="shared" si="2"/>
        <v>-118696.86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--102156.41</f>
        <v>102156.41</v>
      </c>
      <c r="E16" s="2"/>
      <c r="F16" s="19"/>
      <c r="G16" s="2"/>
      <c r="H16" s="2">
        <f>--150360.03</f>
        <v>150360.03</v>
      </c>
      <c r="I16" s="2"/>
      <c r="J16" s="19"/>
      <c r="K16" s="2"/>
      <c r="L16" s="2">
        <f t="shared" si="0"/>
        <v>-48203.619999999995</v>
      </c>
      <c r="M16" s="2"/>
      <c r="N16" s="19">
        <f t="shared" si="1"/>
        <v>-0.32058799136978089</v>
      </c>
      <c r="O16" s="11"/>
      <c r="P16" s="2">
        <f>--104160.58</f>
        <v>104160.58</v>
      </c>
      <c r="Q16" s="2"/>
      <c r="R16" s="19"/>
      <c r="S16" s="2"/>
      <c r="T16" s="2">
        <f>--153398.33</f>
        <v>153398.32999999999</v>
      </c>
      <c r="U16" s="2"/>
      <c r="V16" s="19"/>
      <c r="W16" s="2"/>
      <c r="X16" s="2">
        <f t="shared" si="2"/>
        <v>-49237.749999999985</v>
      </c>
      <c r="Y16" s="2"/>
      <c r="Z16" s="19">
        <f t="shared" si="3"/>
        <v>-0.32097970036570794</v>
      </c>
    </row>
    <row r="17" spans="1:26" x14ac:dyDescent="0.3">
      <c r="A17" s="9"/>
      <c r="B17" s="10"/>
      <c r="C17" s="9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202950.63</v>
      </c>
      <c r="E18" s="4"/>
      <c r="F18" s="12">
        <f t="shared" ref="F18:F21" si="6">IF(D$12=0,0,D18/D$12)</f>
        <v>0.75378702988181545</v>
      </c>
      <c r="G18" s="4"/>
      <c r="H18" s="4">
        <f>SUM(OSRRefH16x_0)</f>
        <v>310994.06000000006</v>
      </c>
      <c r="I18" s="4"/>
      <c r="J18" s="12">
        <f t="shared" ref="J18:J21" si="7">IF(H$12=0,0,H18/H$12)</f>
        <v>0.75475418060500998</v>
      </c>
      <c r="K18" s="4"/>
      <c r="L18" s="4">
        <f t="shared" ref="L18:L21" si="8">+D18-H18</f>
        <v>-108043.43000000005</v>
      </c>
      <c r="M18" s="4"/>
      <c r="N18" s="12">
        <f t="shared" ref="N18:N21" si="9">IF(H18=0,0,L18/H18)</f>
        <v>-0.34741316281089107</v>
      </c>
      <c r="O18" s="10"/>
      <c r="P18" s="4">
        <f>SUM(OSRRefP16x_0)</f>
        <v>204960.66</v>
      </c>
      <c r="Q18" s="4"/>
      <c r="R18" s="12">
        <f t="shared" ref="R18:R21" si="10">IF(P$12=0,0,P18/P$12)</f>
        <v>0.74489283404934303</v>
      </c>
      <c r="S18" s="4"/>
      <c r="T18" s="4">
        <f>SUM(OSRRefT16x_0)</f>
        <v>315723.33999999997</v>
      </c>
      <c r="U18" s="4"/>
      <c r="V18" s="12">
        <f t="shared" ref="V18:V21" si="11">IF(T$12=0,0,T18/T$12)</f>
        <v>0.75289377666381163</v>
      </c>
      <c r="W18" s="4"/>
      <c r="X18" s="4">
        <f t="shared" ref="X18:X21" si="12">+P18-T18</f>
        <v>-110762.67999999996</v>
      </c>
      <c r="Y18" s="4"/>
      <c r="Z18" s="12">
        <f t="shared" ref="Z18:Z21" si="13">IF(T18=0,0,X18/T18)</f>
        <v>-0.35082195697030183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202950.63</v>
      </c>
      <c r="E19" s="2"/>
      <c r="F19" s="19">
        <f t="shared" si="6"/>
        <v>0.75378702988181545</v>
      </c>
      <c r="G19" s="2"/>
      <c r="H19" s="2"/>
      <c r="I19" s="2"/>
      <c r="J19" s="19">
        <f t="shared" si="7"/>
        <v>0</v>
      </c>
      <c r="K19" s="2"/>
      <c r="L19" s="2">
        <f t="shared" si="8"/>
        <v>202950.63</v>
      </c>
      <c r="M19" s="2"/>
      <c r="N19" s="19">
        <f t="shared" si="9"/>
        <v>0</v>
      </c>
      <c r="O19" s="11"/>
      <c r="P19" s="2">
        <v>204960.66</v>
      </c>
      <c r="Q19" s="2"/>
      <c r="R19" s="19">
        <f t="shared" si="10"/>
        <v>0.74489283404934303</v>
      </c>
      <c r="S19" s="2"/>
      <c r="T19" s="2"/>
      <c r="U19" s="2"/>
      <c r="V19" s="19">
        <f t="shared" si="11"/>
        <v>0</v>
      </c>
      <c r="W19" s="2"/>
      <c r="X19" s="2">
        <f t="shared" si="12"/>
        <v>204960.66</v>
      </c>
      <c r="Y19" s="2"/>
      <c r="Z19" s="19">
        <f t="shared" si="13"/>
        <v>0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174735.64</v>
      </c>
      <c r="I20" s="2"/>
      <c r="J20" s="19">
        <f t="shared" si="7"/>
        <v>0.42406743971473926</v>
      </c>
      <c r="K20" s="2"/>
      <c r="L20" s="2">
        <f t="shared" si="8"/>
        <v>-174735.64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176388.86</v>
      </c>
      <c r="U20" s="2"/>
      <c r="V20" s="19">
        <f t="shared" si="11"/>
        <v>0.42062799337807694</v>
      </c>
      <c r="W20" s="2"/>
      <c r="X20" s="2">
        <f t="shared" si="12"/>
        <v>-176388.86</v>
      </c>
      <c r="Y20" s="2"/>
      <c r="Z20" s="19">
        <f t="shared" si="13"/>
        <v>-1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>
        <v>136258.42000000001</v>
      </c>
      <c r="I21" s="2"/>
      <c r="J21" s="19">
        <f t="shared" si="7"/>
        <v>0.33068674089027073</v>
      </c>
      <c r="K21" s="2"/>
      <c r="L21" s="2">
        <f t="shared" si="8"/>
        <v>-136258.42000000001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139334.48000000001</v>
      </c>
      <c r="U21" s="2"/>
      <c r="V21" s="19">
        <f t="shared" si="11"/>
        <v>0.33226578328573469</v>
      </c>
      <c r="W21" s="2"/>
      <c r="X21" s="2">
        <f t="shared" si="12"/>
        <v>-139334.48000000001</v>
      </c>
      <c r="Y21" s="2"/>
      <c r="Z21" s="19">
        <f t="shared" si="13"/>
        <v>-1</v>
      </c>
    </row>
    <row r="22" spans="1:26" x14ac:dyDescent="0.3">
      <c r="A22" s="9"/>
      <c r="B22" s="10"/>
      <c r="C22" s="10"/>
      <c r="D22" s="3"/>
      <c r="E22" s="3"/>
      <c r="F22" s="6"/>
      <c r="G22" s="3"/>
      <c r="H22" s="3"/>
      <c r="I22" s="3"/>
      <c r="J22" s="6"/>
      <c r="K22" s="3"/>
      <c r="L22" s="3"/>
      <c r="M22" s="3"/>
      <c r="N22" s="6"/>
      <c r="O22" s="10"/>
      <c r="P22" s="3"/>
      <c r="Q22" s="3"/>
      <c r="R22" s="6"/>
      <c r="S22" s="3"/>
      <c r="T22" s="3"/>
      <c r="U22" s="3"/>
      <c r="V22" s="6"/>
      <c r="W22" s="3"/>
      <c r="X22" s="3"/>
      <c r="Y22" s="3"/>
      <c r="Z22" s="6"/>
    </row>
    <row r="23" spans="1:26" s="23" customFormat="1" x14ac:dyDescent="0.3">
      <c r="A23" s="10"/>
      <c r="B23" s="25" t="s">
        <v>107</v>
      </c>
      <c r="C23" s="25"/>
      <c r="D23" s="20">
        <f>D12-D18</f>
        <v>66290.709999999963</v>
      </c>
      <c r="E23" s="13"/>
      <c r="F23" s="22">
        <f>IF(D$12=0,0,D23/D$12)</f>
        <v>0.24621297011818458</v>
      </c>
      <c r="G23" s="13"/>
      <c r="H23" s="20">
        <f>H12-H18</f>
        <v>101052.75999999995</v>
      </c>
      <c r="I23" s="13"/>
      <c r="J23" s="22">
        <f>IF(H$12=0,0,H23/H$12)</f>
        <v>0.24524581939498999</v>
      </c>
      <c r="K23" s="15"/>
      <c r="L23" s="20">
        <f>+D23-H23</f>
        <v>-34762.049999999988</v>
      </c>
      <c r="M23" s="15"/>
      <c r="N23" s="22">
        <f>IF(H23=0,0,L23/H23)</f>
        <v>-0.34399901595958393</v>
      </c>
      <c r="O23" s="26"/>
      <c r="P23" s="20">
        <f>P12-P18</f>
        <v>70193.899999999994</v>
      </c>
      <c r="Q23" s="13"/>
      <c r="R23" s="22">
        <f>IF(P$12=0,0,P23/P$12)</f>
        <v>0.25510716595065697</v>
      </c>
      <c r="S23" s="13"/>
      <c r="T23" s="20">
        <f>T12-T18</f>
        <v>103623.12</v>
      </c>
      <c r="U23" s="13"/>
      <c r="V23" s="22">
        <f>IF(T$12=0,0,T23/T$12)</f>
        <v>0.24710622333618842</v>
      </c>
      <c r="W23" s="15"/>
      <c r="X23" s="20">
        <f>+P23-T23</f>
        <v>-33429.22</v>
      </c>
      <c r="Y23" s="15"/>
      <c r="Z23" s="22">
        <f>IF(T23=0,0,X23/T23)</f>
        <v>-0.32260387450213818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1">
        <f>SUM(0)</f>
        <v>0</v>
      </c>
      <c r="E25" s="21"/>
      <c r="F25" s="32">
        <f>IF(D$12=0,0,D25/D$12)</f>
        <v>0</v>
      </c>
      <c r="G25" s="21"/>
      <c r="H25" s="21">
        <f>SUM(0)</f>
        <v>0</v>
      </c>
      <c r="I25" s="21"/>
      <c r="J25" s="32">
        <f>IF(H$12=0,0,H25/H$12)</f>
        <v>0</v>
      </c>
      <c r="K25" s="4"/>
      <c r="L25" s="21">
        <f>+D25-H25</f>
        <v>0</v>
      </c>
      <c r="M25" s="4"/>
      <c r="N25" s="32">
        <f>IF(H25=0,0,L25/H25)</f>
        <v>0</v>
      </c>
      <c r="O25" s="10"/>
      <c r="P25" s="21">
        <f>SUM(0)</f>
        <v>0</v>
      </c>
      <c r="Q25" s="21"/>
      <c r="R25" s="32">
        <f>IF(P$12=0,0,P25/P$12)</f>
        <v>0</v>
      </c>
      <c r="S25" s="21"/>
      <c r="T25" s="21">
        <f>SUM(0)</f>
        <v>0</v>
      </c>
      <c r="U25" s="21"/>
      <c r="V25" s="32">
        <f>IF(T$12=0,0,T25/T$12)</f>
        <v>0</v>
      </c>
      <c r="W25" s="4"/>
      <c r="X25" s="21">
        <f>+P25-T25</f>
        <v>0</v>
      </c>
      <c r="Y25" s="4"/>
      <c r="Z25" s="32">
        <f>IF(T25=0,0,X25/T25)</f>
        <v>0</v>
      </c>
    </row>
    <row r="26" spans="1:26" s="61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6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3">
      <c r="A28" s="9"/>
      <c r="B28" s="10"/>
      <c r="C28" s="10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O28" s="10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10"/>
      <c r="B29" s="25" t="s">
        <v>276</v>
      </c>
      <c r="C29" s="25"/>
      <c r="D29" s="20">
        <f>+D23-D25+D27</f>
        <v>66290.709999999963</v>
      </c>
      <c r="E29" s="13"/>
      <c r="F29" s="22">
        <f>IF(D$12=0,0,D29/D$12)</f>
        <v>0.24621297011818458</v>
      </c>
      <c r="G29" s="13"/>
      <c r="H29" s="20">
        <f>+H23-H25+H27</f>
        <v>101052.75999999995</v>
      </c>
      <c r="I29" s="13"/>
      <c r="J29" s="22">
        <f>IF(H$12=0,0,H29/H$12)</f>
        <v>0.24524581939498999</v>
      </c>
      <c r="K29" s="15"/>
      <c r="L29" s="20">
        <f>+D29-H29</f>
        <v>-34762.049999999988</v>
      </c>
      <c r="M29" s="15"/>
      <c r="N29" s="22">
        <f>IF(H29=0,0,L29/H29)</f>
        <v>-0.34399901595958393</v>
      </c>
      <c r="O29" s="26"/>
      <c r="P29" s="20">
        <f>+P23-P25+P27</f>
        <v>70193.899999999994</v>
      </c>
      <c r="Q29" s="13"/>
      <c r="R29" s="22">
        <f>IF(P$12=0,0,P29/P$12)</f>
        <v>0.25510716595065697</v>
      </c>
      <c r="S29" s="13"/>
      <c r="T29" s="20">
        <f>+T23-T25+T27</f>
        <v>103623.12</v>
      </c>
      <c r="U29" s="13"/>
      <c r="V29" s="22">
        <f>IF(T$12=0,0,T29/T$12)</f>
        <v>0.24710622333618842</v>
      </c>
      <c r="W29" s="15"/>
      <c r="X29" s="20">
        <f>+P29-T29</f>
        <v>-33429.22</v>
      </c>
      <c r="Y29" s="15"/>
      <c r="Z29" s="22">
        <f>IF(T29=0,0,X29/T29)</f>
        <v>-0.32260387450213818</v>
      </c>
    </row>
    <row r="30" spans="1:26" x14ac:dyDescent="0.3">
      <c r="A30" s="9"/>
      <c r="B30" s="10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x14ac:dyDescent="0.3">
      <c r="A31" s="51"/>
      <c r="B31" s="10" t="s">
        <v>127</v>
      </c>
      <c r="C31" s="10"/>
      <c r="D31" s="4">
        <v>38385.300000000003</v>
      </c>
      <c r="E31" s="4"/>
      <c r="F31" s="12">
        <f>IF(D$12=0,0,D31/D$12)</f>
        <v>0.14256837378687837</v>
      </c>
      <c r="G31" s="4"/>
      <c r="H31" s="4">
        <v>67290.34</v>
      </c>
      <c r="I31" s="4"/>
      <c r="J31" s="12">
        <f>IF(H$12=0,0,H31/H$12)</f>
        <v>0.16330750956893683</v>
      </c>
      <c r="K31" s="4"/>
      <c r="L31" s="4">
        <f>+D31-H31</f>
        <v>-28905.039999999994</v>
      </c>
      <c r="M31" s="4"/>
      <c r="N31" s="12">
        <f>IF(H31=0,0,L31/H31)</f>
        <v>-0.42955705083374518</v>
      </c>
      <c r="O31" s="10"/>
      <c r="P31" s="4">
        <v>41117.18</v>
      </c>
      <c r="Q31" s="4"/>
      <c r="R31" s="12">
        <f>IF(P$12=0,0,P31/P$12)</f>
        <v>0.14943303138425182</v>
      </c>
      <c r="S31" s="4"/>
      <c r="T31" s="4">
        <v>70801.08</v>
      </c>
      <c r="U31" s="4"/>
      <c r="V31" s="12">
        <f>IF(T$12=0,0,T31/T$12)</f>
        <v>0.16883671797300973</v>
      </c>
      <c r="W31" s="4"/>
      <c r="X31" s="4">
        <f>+P31-T31</f>
        <v>-29683.9</v>
      </c>
      <c r="Y31" s="4"/>
      <c r="Z31" s="12">
        <f>IF(T31=0,0,X31/T31)</f>
        <v>-0.41925772883690476</v>
      </c>
    </row>
    <row r="32" spans="1:26" x14ac:dyDescent="0.3">
      <c r="A32" s="9"/>
      <c r="B32" s="10"/>
      <c r="C32" s="10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O32" s="10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ht="15" thickBot="1" x14ac:dyDescent="0.35">
      <c r="A33" s="10"/>
      <c r="B33" s="25" t="s">
        <v>125</v>
      </c>
      <c r="C33" s="25"/>
      <c r="D33" s="33">
        <f>+D29-D31</f>
        <v>27905.40999999996</v>
      </c>
      <c r="E33" s="13"/>
      <c r="F33" s="36">
        <f>IF(D$12=0,0,D33/D$12)</f>
        <v>0.1036445963313062</v>
      </c>
      <c r="G33" s="13"/>
      <c r="H33" s="33">
        <f>+H29-H31</f>
        <v>33762.419999999955</v>
      </c>
      <c r="I33" s="13"/>
      <c r="J33" s="36">
        <f>IF(H$12=0,0,H33/H$12)</f>
        <v>8.1938309826053157E-2</v>
      </c>
      <c r="K33" s="15"/>
      <c r="L33" s="33">
        <f>D33-H33</f>
        <v>-5857.0099999999948</v>
      </c>
      <c r="M33" s="15"/>
      <c r="N33" s="36">
        <f>IF(H33=0,0,L33/H33)</f>
        <v>-0.17347719742838347</v>
      </c>
      <c r="O33" s="26"/>
      <c r="P33" s="33">
        <f>+P29-P31</f>
        <v>29076.719999999994</v>
      </c>
      <c r="Q33" s="13"/>
      <c r="R33" s="36">
        <f>IF(P$12=0,0,P33/P$12)</f>
        <v>0.10567413456640513</v>
      </c>
      <c r="S33" s="13"/>
      <c r="T33" s="33">
        <f>+T29-T31</f>
        <v>32822.039999999994</v>
      </c>
      <c r="U33" s="13"/>
      <c r="V33" s="36">
        <f>IF(T$12=0,0,T33/T$12)</f>
        <v>7.8269505363178685E-2</v>
      </c>
      <c r="W33" s="15"/>
      <c r="X33" s="33">
        <f>P33-T33</f>
        <v>-3745.3199999999997</v>
      </c>
      <c r="Y33" s="15"/>
      <c r="Z33" s="36">
        <f>IF(T33=0,0,X33/T33)</f>
        <v>-0.11410990907329345</v>
      </c>
    </row>
    <row r="34" spans="1:26" ht="15" thickTop="1" x14ac:dyDescent="0.3">
      <c r="A34" s="9"/>
      <c r="B34" s="9"/>
      <c r="C34" s="9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>
        <f>SUM(D33:D35)</f>
        <v>27905.40999999996</v>
      </c>
      <c r="E36" s="13"/>
      <c r="F36" s="31">
        <f>IF(D$12=0,0,D36/D$12)</f>
        <v>0.1036445963313062</v>
      </c>
      <c r="G36" s="13"/>
      <c r="H36" s="30">
        <f>SUM(H33:H35)</f>
        <v>33762.419999999955</v>
      </c>
      <c r="I36" s="13"/>
      <c r="J36" s="31">
        <f>IF(H$12=0,0,H36/H$12)</f>
        <v>8.1938309826053157E-2</v>
      </c>
      <c r="K36" s="15"/>
      <c r="L36" s="30">
        <f>+D36-H36</f>
        <v>-5857.0099999999948</v>
      </c>
      <c r="M36" s="15"/>
      <c r="N36" s="31">
        <f>IF(H36=0,0,L36/H36)</f>
        <v>-0.17347719742838347</v>
      </c>
      <c r="O36" s="26"/>
      <c r="P36" s="30">
        <f>SUM(P33:P35)</f>
        <v>29076.719999999994</v>
      </c>
      <c r="Q36" s="13"/>
      <c r="R36" s="31">
        <f>IF(P$12=0,0,P36/P$12)</f>
        <v>0.10567413456640513</v>
      </c>
      <c r="S36" s="13"/>
      <c r="T36" s="30">
        <f>SUM(T33:T35)</f>
        <v>32822.039999999994</v>
      </c>
      <c r="U36" s="13"/>
      <c r="V36" s="31">
        <f>IF(T$12=0,0,T36/T$12)</f>
        <v>7.8269505363178685E-2</v>
      </c>
      <c r="W36" s="15"/>
      <c r="X36" s="30">
        <f>+P36-T36</f>
        <v>-3745.3199999999997</v>
      </c>
      <c r="Y36" s="15"/>
      <c r="Z36" s="31">
        <f>IF(T36=0,0,X36/T36)</f>
        <v>-0.11410990907329345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>
        <v>44470.840542939812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s">
        <v>56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5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430665.4</v>
      </c>
      <c r="E12" s="4"/>
      <c r="F12" s="12"/>
      <c r="G12" s="4"/>
      <c r="H12" s="4">
        <f>SUM(OSRRefH13x_0)</f>
        <v>311058.33999999991</v>
      </c>
      <c r="I12" s="4"/>
      <c r="J12" s="12"/>
      <c r="K12" s="4"/>
      <c r="L12" s="4">
        <f t="shared" ref="L12:L51" si="0">+D12-H12</f>
        <v>119607.06000000011</v>
      </c>
      <c r="M12" s="4"/>
      <c r="N12" s="12">
        <f t="shared" ref="N12:N51" si="1">IF(H12=0,0,L12/H12)</f>
        <v>0.3845164865214678</v>
      </c>
      <c r="O12" s="10"/>
      <c r="P12" s="4">
        <f>SUM(OSRRefP13x_0)</f>
        <v>586517</v>
      </c>
      <c r="Q12" s="4"/>
      <c r="R12" s="12"/>
      <c r="S12" s="4"/>
      <c r="T12" s="4">
        <f>SUM(OSRRefT13x_0)</f>
        <v>485839.16000000003</v>
      </c>
      <c r="U12" s="4"/>
      <c r="V12" s="12"/>
      <c r="W12" s="4"/>
      <c r="X12" s="4">
        <f t="shared" ref="X12:X51" si="2">+P12-T12</f>
        <v>100677.83999999997</v>
      </c>
      <c r="Y12" s="4"/>
      <c r="Z12" s="12">
        <f t="shared" ref="Z12:Z51" si="3">IF(T12=0,0,X12/T12)</f>
        <v>0.20722462964903851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--413306.18</f>
        <v>413306.18</v>
      </c>
      <c r="E13" s="2"/>
      <c r="F13" s="19"/>
      <c r="G13" s="2"/>
      <c r="H13" s="2">
        <f>-12895.37</f>
        <v>-12895.37</v>
      </c>
      <c r="I13" s="2"/>
      <c r="J13" s="19"/>
      <c r="K13" s="2"/>
      <c r="L13" s="2">
        <f t="shared" si="0"/>
        <v>426201.55</v>
      </c>
      <c r="M13" s="2"/>
      <c r="N13" s="19">
        <f t="shared" si="1"/>
        <v>-33.050742243146182</v>
      </c>
      <c r="O13" s="11"/>
      <c r="P13" s="2">
        <f>--564290.45</f>
        <v>564290.44999999995</v>
      </c>
      <c r="Q13" s="2"/>
      <c r="R13" s="19"/>
      <c r="S13" s="2"/>
      <c r="T13" s="2">
        <f>-22848.76</f>
        <v>-22848.76</v>
      </c>
      <c r="U13" s="2"/>
      <c r="V13" s="19"/>
      <c r="W13" s="2"/>
      <c r="X13" s="2">
        <f t="shared" si="2"/>
        <v>587139.21</v>
      </c>
      <c r="Y13" s="2"/>
      <c r="Z13" s="19">
        <f t="shared" si="3"/>
        <v>-25.696764725963249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--236.56</f>
        <v>236.56</v>
      </c>
      <c r="U14" s="2"/>
      <c r="V14" s="19"/>
      <c r="W14" s="2"/>
      <c r="X14" s="2">
        <f t="shared" si="2"/>
        <v>-236.56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--16859.02</f>
        <v>16859.02</v>
      </c>
      <c r="I15" s="2"/>
      <c r="J15" s="19"/>
      <c r="K15" s="2"/>
      <c r="L15" s="2">
        <f t="shared" si="0"/>
        <v>-16859.02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--18512.19</f>
        <v>18512.189999999999</v>
      </c>
      <c r="U15" s="2"/>
      <c r="V15" s="19"/>
      <c r="W15" s="2"/>
      <c r="X15" s="2">
        <f t="shared" si="2"/>
        <v>-18512.189999999999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--19.85</f>
        <v>19.850000000000001</v>
      </c>
      <c r="U16" s="2"/>
      <c r="V16" s="19"/>
      <c r="W16" s="2"/>
      <c r="X16" s="2">
        <f t="shared" si="2"/>
        <v>-19.850000000000001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--407.47</f>
        <v>407.47</v>
      </c>
      <c r="I17" s="2"/>
      <c r="J17" s="19"/>
      <c r="K17" s="2"/>
      <c r="L17" s="2">
        <f t="shared" si="0"/>
        <v>-407.47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--427.22</f>
        <v>427.22</v>
      </c>
      <c r="U17" s="2"/>
      <c r="V17" s="19"/>
      <c r="W17" s="2"/>
      <c r="X17" s="2">
        <f t="shared" si="2"/>
        <v>-427.22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--177286.09</f>
        <v>177286.09</v>
      </c>
      <c r="I19" s="2"/>
      <c r="J19" s="19"/>
      <c r="K19" s="2"/>
      <c r="L19" s="2">
        <f t="shared" si="0"/>
        <v>-177286.09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--249578.35</f>
        <v>249578.35</v>
      </c>
      <c r="U19" s="2"/>
      <c r="V19" s="19"/>
      <c r="W19" s="2"/>
      <c r="X19" s="2">
        <f t="shared" si="2"/>
        <v>-249578.35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--39770.2</f>
        <v>39770.199999999997</v>
      </c>
      <c r="I20" s="2"/>
      <c r="J20" s="19"/>
      <c r="K20" s="2"/>
      <c r="L20" s="2">
        <f t="shared" si="0"/>
        <v>-39770.199999999997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--59873.51</f>
        <v>59873.51</v>
      </c>
      <c r="U20" s="2"/>
      <c r="V20" s="19"/>
      <c r="W20" s="2"/>
      <c r="X20" s="2">
        <f t="shared" si="2"/>
        <v>-59873.51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--25214.79</f>
        <v>25214.79</v>
      </c>
      <c r="I21" s="2"/>
      <c r="J21" s="19"/>
      <c r="K21" s="2"/>
      <c r="L21" s="2">
        <f t="shared" si="0"/>
        <v>-25214.79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--30968.17</f>
        <v>30968.17</v>
      </c>
      <c r="U21" s="2"/>
      <c r="V21" s="19"/>
      <c r="W21" s="2"/>
      <c r="X21" s="2">
        <f t="shared" si="2"/>
        <v>-30968.17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--6763.28</f>
        <v>6763.28</v>
      </c>
      <c r="I22" s="2"/>
      <c r="J22" s="19"/>
      <c r="K22" s="2"/>
      <c r="L22" s="2">
        <f t="shared" si="0"/>
        <v>-6763.28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--6980.64</f>
        <v>6980.64</v>
      </c>
      <c r="U22" s="2"/>
      <c r="V22" s="19"/>
      <c r="W22" s="2"/>
      <c r="X22" s="2">
        <f t="shared" si="2"/>
        <v>-6980.64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--6568.52</f>
        <v>6568.52</v>
      </c>
      <c r="I23" s="2"/>
      <c r="J23" s="19"/>
      <c r="K23" s="2"/>
      <c r="L23" s="2">
        <f t="shared" si="0"/>
        <v>-6568.52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--8369.2</f>
        <v>8369.2000000000007</v>
      </c>
      <c r="U23" s="2"/>
      <c r="V23" s="19"/>
      <c r="W23" s="2"/>
      <c r="X23" s="2">
        <f t="shared" si="2"/>
        <v>-8369.2000000000007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--46004.35</f>
        <v>46004.35</v>
      </c>
      <c r="I24" s="2"/>
      <c r="J24" s="19"/>
      <c r="K24" s="2"/>
      <c r="L24" s="2">
        <f t="shared" si="0"/>
        <v>-46004.35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--89431.08</f>
        <v>89431.08</v>
      </c>
      <c r="U24" s="2"/>
      <c r="V24" s="19"/>
      <c r="W24" s="2"/>
      <c r="X24" s="2">
        <f t="shared" si="2"/>
        <v>-89431.08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--25660.29</f>
        <v>25660.29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25660.29</v>
      </c>
      <c r="M25" s="2"/>
      <c r="N25" s="19">
        <f t="shared" si="1"/>
        <v>0</v>
      </c>
      <c r="O25" s="11"/>
      <c r="P25" s="2">
        <f>--35293.08</f>
        <v>35293.08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35293.08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--1788.16</f>
        <v>1788.16</v>
      </c>
      <c r="I27" s="2"/>
      <c r="J27" s="19"/>
      <c r="K27" s="2"/>
      <c r="L27" s="2">
        <f t="shared" si="0"/>
        <v>-1788.16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--1860.41</f>
        <v>1860.41</v>
      </c>
      <c r="U27" s="2"/>
      <c r="V27" s="19"/>
      <c r="W27" s="2"/>
      <c r="X27" s="2">
        <f t="shared" si="2"/>
        <v>-1860.41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--988.65</f>
        <v>988.65</v>
      </c>
      <c r="I28" s="2"/>
      <c r="J28" s="19"/>
      <c r="K28" s="2"/>
      <c r="L28" s="2">
        <f t="shared" si="0"/>
        <v>-988.65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--1248.08</f>
        <v>1248.08</v>
      </c>
      <c r="U28" s="2"/>
      <c r="V28" s="19"/>
      <c r="W28" s="2"/>
      <c r="X28" s="2">
        <f t="shared" si="2"/>
        <v>-1248.08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>--12.43</f>
        <v>12.43</v>
      </c>
      <c r="I30" s="2"/>
      <c r="J30" s="19"/>
      <c r="K30" s="2"/>
      <c r="L30" s="2">
        <f t="shared" si="0"/>
        <v>-12.43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ref="H31:H32" si="9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--68.25</f>
        <v>68.25</v>
      </c>
      <c r="U32" s="2"/>
      <c r="V32" s="19"/>
      <c r="W32" s="2"/>
      <c r="X32" s="2">
        <f t="shared" si="2"/>
        <v>-68.25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--7266.5</f>
        <v>7266.5</v>
      </c>
      <c r="I33" s="2"/>
      <c r="J33" s="19"/>
      <c r="K33" s="2"/>
      <c r="L33" s="2">
        <f t="shared" si="0"/>
        <v>-7266.5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--14112.74</f>
        <v>14112.74</v>
      </c>
      <c r="U33" s="2"/>
      <c r="V33" s="19"/>
      <c r="W33" s="2"/>
      <c r="X33" s="2">
        <f t="shared" si="2"/>
        <v>-14112.74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--742.31</f>
        <v>742.31</v>
      </c>
      <c r="I34" s="2"/>
      <c r="J34" s="19"/>
      <c r="K34" s="2"/>
      <c r="L34" s="2">
        <f t="shared" si="0"/>
        <v>-742.31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--1931.75</f>
        <v>1931.75</v>
      </c>
      <c r="U34" s="2"/>
      <c r="V34" s="19"/>
      <c r="W34" s="2"/>
      <c r="X34" s="2">
        <f t="shared" si="2"/>
        <v>-1931.75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--333.42</f>
        <v>333.42</v>
      </c>
      <c r="I35" s="2"/>
      <c r="J35" s="19"/>
      <c r="K35" s="2"/>
      <c r="L35" s="2">
        <f t="shared" si="0"/>
        <v>-333.42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--973.59</f>
        <v>973.59</v>
      </c>
      <c r="U35" s="2"/>
      <c r="V35" s="19"/>
      <c r="W35" s="2"/>
      <c r="X35" s="2">
        <f t="shared" si="2"/>
        <v>-973.59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--19.98</f>
        <v>19.98</v>
      </c>
      <c r="I36" s="2"/>
      <c r="J36" s="19"/>
      <c r="K36" s="2"/>
      <c r="L36" s="2">
        <f t="shared" si="0"/>
        <v>-19.98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-19.98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--107.95</f>
        <v>107.95</v>
      </c>
      <c r="I37" s="2"/>
      <c r="J37" s="19"/>
      <c r="K37" s="2"/>
      <c r="L37" s="2">
        <f t="shared" si="0"/>
        <v>-107.95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--155.8</f>
        <v>155.80000000000001</v>
      </c>
      <c r="U37" s="2"/>
      <c r="V37" s="19"/>
      <c r="W37" s="2"/>
      <c r="X37" s="2">
        <f t="shared" si="2"/>
        <v>-155.80000000000001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>--350</f>
        <v>350</v>
      </c>
      <c r="I38" s="2"/>
      <c r="J38" s="19"/>
      <c r="K38" s="2"/>
      <c r="L38" s="2">
        <f t="shared" si="0"/>
        <v>-350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--35846</f>
        <v>35846</v>
      </c>
      <c r="U38" s="2"/>
      <c r="V38" s="19"/>
      <c r="W38" s="2"/>
      <c r="X38" s="2">
        <f t="shared" si="2"/>
        <v>-35846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"4200", " - ", "TAXABLE RETURNS")</f>
        <v xml:space="preserve">          4200 - TAXABLE RETURNS</v>
      </c>
      <c r="C39" s="11"/>
      <c r="D39" s="2">
        <f>-8202.72</f>
        <v>-8202.7199999999993</v>
      </c>
      <c r="E39" s="2"/>
      <c r="F39" s="19"/>
      <c r="G39" s="2"/>
      <c r="H39" s="2">
        <f t="shared" ref="H39:H40" si="10">0</f>
        <v>0</v>
      </c>
      <c r="I39" s="2"/>
      <c r="J39" s="19"/>
      <c r="K39" s="2"/>
      <c r="L39" s="2">
        <f t="shared" si="0"/>
        <v>-8202.7199999999993</v>
      </c>
      <c r="M39" s="2"/>
      <c r="N39" s="19">
        <f t="shared" si="1"/>
        <v>0</v>
      </c>
      <c r="O39" s="11"/>
      <c r="P39" s="2">
        <f>-12848.33</f>
        <v>-12848.33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-12848.33</v>
      </c>
      <c r="Y39" s="2"/>
      <c r="Z39" s="19">
        <f t="shared" si="3"/>
        <v>0</v>
      </c>
    </row>
    <row r="40" spans="1:26" s="24" customFormat="1" hidden="1" outlineLevel="1" x14ac:dyDescent="0.3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ref="P40:P47" si="12">0</f>
        <v>0</v>
      </c>
      <c r="Q40" s="2"/>
      <c r="R40" s="19"/>
      <c r="S40" s="2"/>
      <c r="T40" s="2">
        <f>-6.38</f>
        <v>-6.38</v>
      </c>
      <c r="U40" s="2"/>
      <c r="V40" s="19"/>
      <c r="W40" s="2"/>
      <c r="X40" s="2">
        <f t="shared" si="2"/>
        <v>6.38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-219.22</f>
        <v>-219.22</v>
      </c>
      <c r="I41" s="2"/>
      <c r="J41" s="19"/>
      <c r="K41" s="2"/>
      <c r="L41" s="2">
        <f t="shared" si="0"/>
        <v>219.22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-275.99</f>
        <v>-275.99</v>
      </c>
      <c r="U41" s="2"/>
      <c r="V41" s="19"/>
      <c r="W41" s="2"/>
      <c r="X41" s="2">
        <f t="shared" si="2"/>
        <v>275.99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-4788.72</f>
        <v>-4788.72</v>
      </c>
      <c r="I42" s="2"/>
      <c r="J42" s="19"/>
      <c r="K42" s="2"/>
      <c r="L42" s="2">
        <f t="shared" si="0"/>
        <v>4788.72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-8156.82</f>
        <v>-8156.82</v>
      </c>
      <c r="U42" s="2"/>
      <c r="V42" s="19"/>
      <c r="W42" s="2"/>
      <c r="X42" s="2">
        <f t="shared" si="2"/>
        <v>8156.82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-464.76</f>
        <v>-464.76</v>
      </c>
      <c r="I43" s="2"/>
      <c r="J43" s="19"/>
      <c r="K43" s="2"/>
      <c r="L43" s="2">
        <f t="shared" si="0"/>
        <v>464.76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-806.74</f>
        <v>-806.74</v>
      </c>
      <c r="U43" s="2"/>
      <c r="V43" s="19"/>
      <c r="W43" s="2"/>
      <c r="X43" s="2">
        <f t="shared" si="2"/>
        <v>806.74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-470.53</f>
        <v>-470.53</v>
      </c>
      <c r="I44" s="2"/>
      <c r="J44" s="19"/>
      <c r="K44" s="2"/>
      <c r="L44" s="2">
        <f t="shared" si="0"/>
        <v>470.53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-649.49</f>
        <v>-649.49</v>
      </c>
      <c r="U44" s="2"/>
      <c r="V44" s="19"/>
      <c r="W44" s="2"/>
      <c r="X44" s="2">
        <f t="shared" si="2"/>
        <v>649.49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-93.43</f>
        <v>-93.43</v>
      </c>
      <c r="I45" s="2"/>
      <c r="J45" s="19"/>
      <c r="K45" s="2"/>
      <c r="L45" s="2">
        <f t="shared" si="0"/>
        <v>93.43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-93.43</f>
        <v>-93.43</v>
      </c>
      <c r="U45" s="2"/>
      <c r="V45" s="19"/>
      <c r="W45" s="2"/>
      <c r="X45" s="2">
        <f t="shared" si="2"/>
        <v>93.43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-350.99</f>
        <v>-350.99</v>
      </c>
      <c r="I46" s="2"/>
      <c r="J46" s="19"/>
      <c r="K46" s="2"/>
      <c r="L46" s="2">
        <f t="shared" si="0"/>
        <v>350.99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-350.99</f>
        <v>-350.99</v>
      </c>
      <c r="U46" s="2"/>
      <c r="V46" s="19"/>
      <c r="W46" s="2"/>
      <c r="X46" s="2">
        <f t="shared" si="2"/>
        <v>350.99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-57.96</f>
        <v>-57.96</v>
      </c>
      <c r="I47" s="2"/>
      <c r="J47" s="19"/>
      <c r="K47" s="2"/>
      <c r="L47" s="2">
        <f t="shared" si="0"/>
        <v>57.96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-1178.96</f>
        <v>-1178.96</v>
      </c>
      <c r="U47" s="2"/>
      <c r="V47" s="19"/>
      <c r="W47" s="2"/>
      <c r="X47" s="2">
        <f t="shared" si="2"/>
        <v>1178.96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"4300", " - ", "NON-TAX RETURNS")</f>
        <v xml:space="preserve">          4300 - NON-TAX RETURNS</v>
      </c>
      <c r="C48" s="11"/>
      <c r="D48" s="2">
        <f>-98.35</f>
        <v>-98.35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-98.35</v>
      </c>
      <c r="M48" s="2"/>
      <c r="N48" s="19">
        <f t="shared" si="1"/>
        <v>0</v>
      </c>
      <c r="O48" s="11"/>
      <c r="P48" s="2">
        <f>-218.2</f>
        <v>-218.2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-218.2</v>
      </c>
      <c r="Y48" s="2"/>
      <c r="Z48" s="19">
        <f t="shared" si="3"/>
        <v>0</v>
      </c>
    </row>
    <row r="49" spans="1:26" s="24" customFormat="1" hidden="1" outlineLevel="1" x14ac:dyDescent="0.3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-69.9</f>
        <v>-69.900000000000006</v>
      </c>
      <c r="I49" s="2"/>
      <c r="J49" s="19"/>
      <c r="K49" s="2"/>
      <c r="L49" s="2">
        <f t="shared" si="0"/>
        <v>69.900000000000006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-504.14</f>
        <v>-504.14</v>
      </c>
      <c r="U49" s="2"/>
      <c r="V49" s="19"/>
      <c r="W49" s="2"/>
      <c r="X49" s="2">
        <f t="shared" si="2"/>
        <v>504.14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4"/>
        <v>0</v>
      </c>
      <c r="Q50" s="2"/>
      <c r="R50" s="19"/>
      <c r="S50" s="2"/>
      <c r="T50" s="2">
        <f>-16.95</f>
        <v>-16.95</v>
      </c>
      <c r="U50" s="2"/>
      <c r="V50" s="19"/>
      <c r="W50" s="2"/>
      <c r="X50" s="2">
        <f t="shared" si="2"/>
        <v>16.95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>-13.9</f>
        <v>-13.9</v>
      </c>
      <c r="I51" s="2"/>
      <c r="J51" s="19"/>
      <c r="K51" s="2"/>
      <c r="L51" s="2">
        <f t="shared" si="0"/>
        <v>13.9</v>
      </c>
      <c r="M51" s="2"/>
      <c r="N51" s="19">
        <f t="shared" si="1"/>
        <v>-1</v>
      </c>
      <c r="O51" s="11"/>
      <c r="P51" s="2">
        <f t="shared" si="14"/>
        <v>0</v>
      </c>
      <c r="Q51" s="2"/>
      <c r="R51" s="19"/>
      <c r="S51" s="2"/>
      <c r="T51" s="2">
        <f>-93.75</f>
        <v>-93.75</v>
      </c>
      <c r="U51" s="2"/>
      <c r="V51" s="19"/>
      <c r="W51" s="2"/>
      <c r="X51" s="2">
        <f t="shared" si="2"/>
        <v>93.75</v>
      </c>
      <c r="Y51" s="2"/>
      <c r="Z51" s="19">
        <f t="shared" si="3"/>
        <v>-1</v>
      </c>
    </row>
    <row r="52" spans="1:26" x14ac:dyDescent="0.3">
      <c r="A52" s="9"/>
      <c r="B52" s="10"/>
      <c r="C52" s="9"/>
      <c r="D52" s="3"/>
      <c r="E52" s="3"/>
      <c r="F52" s="6"/>
      <c r="G52" s="3"/>
      <c r="H52" s="3"/>
      <c r="I52" s="3"/>
      <c r="J52" s="6"/>
      <c r="K52" s="3"/>
      <c r="L52" s="3"/>
      <c r="M52" s="3"/>
      <c r="N52" s="6"/>
      <c r="P52" s="3"/>
      <c r="Q52" s="3"/>
      <c r="R52" s="6"/>
      <c r="S52" s="3"/>
      <c r="T52" s="3"/>
      <c r="U52" s="3"/>
      <c r="V52" s="6"/>
      <c r="W52" s="3"/>
      <c r="X52" s="3"/>
      <c r="Y52" s="3"/>
      <c r="Z52" s="6"/>
    </row>
    <row r="53" spans="1:26" s="23" customFormat="1" collapsed="1" x14ac:dyDescent="0.3">
      <c r="A53" s="10"/>
      <c r="B53" s="26" t="s">
        <v>256</v>
      </c>
      <c r="C53" s="10"/>
      <c r="D53" s="4">
        <f>SUM(OSRRefD16x_0)</f>
        <v>180200.93000000002</v>
      </c>
      <c r="E53" s="4"/>
      <c r="F53" s="12">
        <f t="shared" ref="F53:F72" si="15">IF(D$12=0,0,D53/D$12)</f>
        <v>0.41842444273442914</v>
      </c>
      <c r="G53" s="4"/>
      <c r="H53" s="4">
        <f>SUM(OSRRefH16x_0)</f>
        <v>180056</v>
      </c>
      <c r="I53" s="4"/>
      <c r="J53" s="12">
        <f t="shared" ref="J53:J72" si="16">IF(H$12=0,0,H53/H$12)</f>
        <v>0.57884961386986133</v>
      </c>
      <c r="K53" s="4"/>
      <c r="L53" s="4">
        <f t="shared" ref="L53:L72" si="17">+D53-H53</f>
        <v>144.93000000002212</v>
      </c>
      <c r="M53" s="4"/>
      <c r="N53" s="12">
        <f t="shared" ref="N53:N72" si="18">IF(H53=0,0,L53/H53)</f>
        <v>8.0491624827843625E-4</v>
      </c>
      <c r="O53" s="10"/>
      <c r="P53" s="4">
        <f>SUM(OSRRefP16x_0)</f>
        <v>262920.62</v>
      </c>
      <c r="Q53" s="4"/>
      <c r="R53" s="12">
        <f t="shared" ref="R53:R72" si="19">IF(P$12=0,0,P53/P$12)</f>
        <v>0.44827450866726792</v>
      </c>
      <c r="S53" s="4"/>
      <c r="T53" s="4">
        <f>SUM(OSRRefT16x_0)</f>
        <v>290595.94000000006</v>
      </c>
      <c r="U53" s="4"/>
      <c r="V53" s="12">
        <f t="shared" ref="V53:V72" si="20">IF(T$12=0,0,T53/T$12)</f>
        <v>0.59813198260922407</v>
      </c>
      <c r="W53" s="4"/>
      <c r="X53" s="4">
        <f t="shared" ref="X53:X72" si="21">+P53-T53</f>
        <v>-27675.320000000065</v>
      </c>
      <c r="Y53" s="4"/>
      <c r="Z53" s="12">
        <f t="shared" ref="Z53:Z72" si="22">IF(T53=0,0,X53/T53)</f>
        <v>-9.5236430350678886E-2</v>
      </c>
    </row>
    <row r="54" spans="1:26" s="24" customFormat="1" hidden="1" outlineLevel="1" x14ac:dyDescent="0.3">
      <c r="A54" s="44"/>
      <c r="B54" s="11" t="str">
        <f>CONCATENATE("          ", "5000", " - ", "PURCHASES @ COST")</f>
        <v xml:space="preserve">          5000 - PURCHASES @ COST</v>
      </c>
      <c r="C54" s="11"/>
      <c r="D54" s="2">
        <v>63702.01</v>
      </c>
      <c r="E54" s="2"/>
      <c r="F54" s="19">
        <f t="shared" si="15"/>
        <v>0.1479153189459845</v>
      </c>
      <c r="G54" s="2"/>
      <c r="H54" s="2"/>
      <c r="I54" s="2"/>
      <c r="J54" s="19">
        <f t="shared" si="16"/>
        <v>0</v>
      </c>
      <c r="K54" s="2"/>
      <c r="L54" s="2">
        <f t="shared" si="17"/>
        <v>63702.01</v>
      </c>
      <c r="M54" s="2"/>
      <c r="N54" s="19">
        <f t="shared" si="18"/>
        <v>0</v>
      </c>
      <c r="O54" s="11"/>
      <c r="P54" s="2">
        <v>144257.64000000001</v>
      </c>
      <c r="Q54" s="2"/>
      <c r="R54" s="19">
        <f t="shared" si="19"/>
        <v>0.24595645139015582</v>
      </c>
      <c r="S54" s="2"/>
      <c r="T54" s="2"/>
      <c r="U54" s="2"/>
      <c r="V54" s="19">
        <f t="shared" si="20"/>
        <v>0</v>
      </c>
      <c r="W54" s="2"/>
      <c r="X54" s="2">
        <f t="shared" si="21"/>
        <v>144257.64000000001</v>
      </c>
      <c r="Y54" s="2"/>
      <c r="Z54" s="19">
        <f t="shared" si="22"/>
        <v>0</v>
      </c>
    </row>
    <row r="55" spans="1:26" s="24" customFormat="1" hidden="1" outlineLevel="1" x14ac:dyDescent="0.3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>
        <v>0</v>
      </c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>
        <v>8503.4</v>
      </c>
      <c r="U55" s="2"/>
      <c r="V55" s="19">
        <f t="shared" si="20"/>
        <v>1.7502500210151851E-2</v>
      </c>
      <c r="W55" s="2"/>
      <c r="X55" s="2">
        <f t="shared" si="21"/>
        <v>-8503.4</v>
      </c>
      <c r="Y55" s="2"/>
      <c r="Z55" s="19">
        <f t="shared" si="22"/>
        <v>-1</v>
      </c>
    </row>
    <row r="56" spans="1:26" s="24" customFormat="1" hidden="1" outlineLevel="1" x14ac:dyDescent="0.3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0</v>
      </c>
      <c r="E56" s="2"/>
      <c r="F56" s="19">
        <f t="shared" si="15"/>
        <v>0</v>
      </c>
      <c r="G56" s="2"/>
      <c r="H56" s="2"/>
      <c r="I56" s="2"/>
      <c r="J56" s="19">
        <f t="shared" si="16"/>
        <v>0</v>
      </c>
      <c r="K56" s="2"/>
      <c r="L56" s="2">
        <f t="shared" si="17"/>
        <v>0</v>
      </c>
      <c r="M56" s="2"/>
      <c r="N56" s="19">
        <f t="shared" si="18"/>
        <v>0</v>
      </c>
      <c r="O56" s="11"/>
      <c r="P56" s="2">
        <v>0</v>
      </c>
      <c r="Q56" s="2"/>
      <c r="R56" s="19">
        <f t="shared" si="19"/>
        <v>0</v>
      </c>
      <c r="S56" s="2"/>
      <c r="T56" s="2"/>
      <c r="U56" s="2"/>
      <c r="V56" s="19">
        <f t="shared" si="20"/>
        <v>0</v>
      </c>
      <c r="W56" s="2"/>
      <c r="X56" s="2">
        <f t="shared" si="21"/>
        <v>0</v>
      </c>
      <c r="Y56" s="2"/>
      <c r="Z56" s="19">
        <f t="shared" si="22"/>
        <v>0</v>
      </c>
    </row>
    <row r="57" spans="1:26" s="24" customFormat="1" hidden="1" outlineLevel="1" x14ac:dyDescent="0.3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0</v>
      </c>
      <c r="E57" s="2"/>
      <c r="F57" s="19">
        <f t="shared" si="15"/>
        <v>0</v>
      </c>
      <c r="G57" s="2"/>
      <c r="H57" s="2"/>
      <c r="I57" s="2"/>
      <c r="J57" s="19">
        <f t="shared" si="16"/>
        <v>0</v>
      </c>
      <c r="K57" s="2"/>
      <c r="L57" s="2">
        <f t="shared" si="17"/>
        <v>0</v>
      </c>
      <c r="M57" s="2"/>
      <c r="N57" s="19">
        <f t="shared" si="18"/>
        <v>0</v>
      </c>
      <c r="O57" s="11"/>
      <c r="P57" s="2">
        <v>0</v>
      </c>
      <c r="Q57" s="2"/>
      <c r="R57" s="19">
        <f t="shared" si="19"/>
        <v>0</v>
      </c>
      <c r="S57" s="2"/>
      <c r="T57" s="2"/>
      <c r="U57" s="2"/>
      <c r="V57" s="19">
        <f t="shared" si="20"/>
        <v>0</v>
      </c>
      <c r="W57" s="2"/>
      <c r="X57" s="2">
        <f t="shared" si="21"/>
        <v>0</v>
      </c>
      <c r="Y57" s="2"/>
      <c r="Z57" s="19">
        <f t="shared" si="22"/>
        <v>0</v>
      </c>
    </row>
    <row r="58" spans="1:26" s="24" customFormat="1" hidden="1" outlineLevel="1" x14ac:dyDescent="0.3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0</v>
      </c>
      <c r="E58" s="2"/>
      <c r="F58" s="19">
        <f t="shared" si="15"/>
        <v>0</v>
      </c>
      <c r="G58" s="2"/>
      <c r="H58" s="2">
        <v>7628.83</v>
      </c>
      <c r="I58" s="2"/>
      <c r="J58" s="19">
        <f t="shared" si="16"/>
        <v>2.4525399318983062E-2</v>
      </c>
      <c r="K58" s="2"/>
      <c r="L58" s="2">
        <f t="shared" si="17"/>
        <v>-7628.83</v>
      </c>
      <c r="M58" s="2"/>
      <c r="N58" s="19">
        <f t="shared" si="18"/>
        <v>-1</v>
      </c>
      <c r="O58" s="11"/>
      <c r="P58" s="2">
        <v>0</v>
      </c>
      <c r="Q58" s="2"/>
      <c r="R58" s="19">
        <f t="shared" si="19"/>
        <v>0</v>
      </c>
      <c r="S58" s="2"/>
      <c r="T58" s="2">
        <v>9351.9</v>
      </c>
      <c r="U58" s="2"/>
      <c r="V58" s="19">
        <f t="shared" si="20"/>
        <v>1.92489629695556E-2</v>
      </c>
      <c r="W58" s="2"/>
      <c r="X58" s="2">
        <f t="shared" si="21"/>
        <v>-9351.9</v>
      </c>
      <c r="Y58" s="2"/>
      <c r="Z58" s="19">
        <f t="shared" si="22"/>
        <v>-1</v>
      </c>
    </row>
    <row r="59" spans="1:26" s="24" customFormat="1" hidden="1" outlineLevel="1" x14ac:dyDescent="0.3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0</v>
      </c>
      <c r="E59" s="2"/>
      <c r="F59" s="19">
        <f t="shared" si="15"/>
        <v>0</v>
      </c>
      <c r="G59" s="2"/>
      <c r="H59" s="2">
        <v>1843.29</v>
      </c>
      <c r="I59" s="2"/>
      <c r="J59" s="19">
        <f t="shared" si="16"/>
        <v>5.9258658681197894E-3</v>
      </c>
      <c r="K59" s="2"/>
      <c r="L59" s="2">
        <f t="shared" si="17"/>
        <v>-1843.29</v>
      </c>
      <c r="M59" s="2"/>
      <c r="N59" s="19">
        <f t="shared" si="18"/>
        <v>-1</v>
      </c>
      <c r="O59" s="11"/>
      <c r="P59" s="2">
        <v>0</v>
      </c>
      <c r="Q59" s="2"/>
      <c r="R59" s="19">
        <f t="shared" si="19"/>
        <v>0</v>
      </c>
      <c r="S59" s="2"/>
      <c r="T59" s="2">
        <v>1129.54</v>
      </c>
      <c r="U59" s="2"/>
      <c r="V59" s="19">
        <f t="shared" si="20"/>
        <v>2.3249258046634195E-3</v>
      </c>
      <c r="W59" s="2"/>
      <c r="X59" s="2">
        <f t="shared" si="21"/>
        <v>-1129.54</v>
      </c>
      <c r="Y59" s="2"/>
      <c r="Z59" s="19">
        <f t="shared" si="22"/>
        <v>-1</v>
      </c>
    </row>
    <row r="60" spans="1:26" s="24" customFormat="1" hidden="1" outlineLevel="1" x14ac:dyDescent="0.3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>
        <v>0</v>
      </c>
      <c r="E60" s="2"/>
      <c r="F60" s="19">
        <f t="shared" si="15"/>
        <v>0</v>
      </c>
      <c r="G60" s="2"/>
      <c r="H60" s="2">
        <v>732.99</v>
      </c>
      <c r="I60" s="2"/>
      <c r="J60" s="19">
        <f t="shared" si="16"/>
        <v>2.3564389882618168E-3</v>
      </c>
      <c r="K60" s="2"/>
      <c r="L60" s="2">
        <f t="shared" si="17"/>
        <v>-732.99</v>
      </c>
      <c r="M60" s="2"/>
      <c r="N60" s="19">
        <f t="shared" si="18"/>
        <v>-1</v>
      </c>
      <c r="O60" s="11"/>
      <c r="P60" s="2">
        <v>0</v>
      </c>
      <c r="Q60" s="2"/>
      <c r="R60" s="19">
        <f t="shared" si="19"/>
        <v>0</v>
      </c>
      <c r="S60" s="2"/>
      <c r="T60" s="2">
        <v>969.15</v>
      </c>
      <c r="U60" s="2"/>
      <c r="V60" s="19">
        <f t="shared" si="20"/>
        <v>1.9947959732187909E-3</v>
      </c>
      <c r="W60" s="2"/>
      <c r="X60" s="2">
        <f t="shared" si="21"/>
        <v>-969.15</v>
      </c>
      <c r="Y60" s="2"/>
      <c r="Z60" s="19">
        <f t="shared" si="22"/>
        <v>-1</v>
      </c>
    </row>
    <row r="61" spans="1:26" s="24" customFormat="1" hidden="1" outlineLevel="1" x14ac:dyDescent="0.3">
      <c r="A61" s="44"/>
      <c r="B61" s="11" t="str">
        <f>CONCATENATE("          ", "5043", " - ", "PURCHASES @ COST-CARDS")</f>
        <v xml:space="preserve">          5043 - PURCHASES @ COST-CARDS</v>
      </c>
      <c r="C61" s="11"/>
      <c r="D61" s="2">
        <v>0</v>
      </c>
      <c r="E61" s="2"/>
      <c r="F61" s="19">
        <f t="shared" si="15"/>
        <v>0</v>
      </c>
      <c r="G61" s="2"/>
      <c r="H61" s="2">
        <v>1406.55</v>
      </c>
      <c r="I61" s="2"/>
      <c r="J61" s="19">
        <f t="shared" si="16"/>
        <v>4.5218205690932458E-3</v>
      </c>
      <c r="K61" s="2"/>
      <c r="L61" s="2">
        <f t="shared" si="17"/>
        <v>-1406.55</v>
      </c>
      <c r="M61" s="2"/>
      <c r="N61" s="19">
        <f t="shared" si="18"/>
        <v>-1</v>
      </c>
      <c r="O61" s="11"/>
      <c r="P61" s="2">
        <v>0</v>
      </c>
      <c r="Q61" s="2"/>
      <c r="R61" s="19">
        <f t="shared" si="19"/>
        <v>0</v>
      </c>
      <c r="S61" s="2"/>
      <c r="T61" s="2">
        <v>1715.25</v>
      </c>
      <c r="U61" s="2"/>
      <c r="V61" s="19">
        <f t="shared" si="20"/>
        <v>3.5304893907687472E-3</v>
      </c>
      <c r="W61" s="2"/>
      <c r="X61" s="2">
        <f t="shared" si="21"/>
        <v>-1715.25</v>
      </c>
      <c r="Y61" s="2"/>
      <c r="Z61" s="19">
        <f t="shared" si="22"/>
        <v>-1</v>
      </c>
    </row>
    <row r="62" spans="1:26" s="24" customFormat="1" hidden="1" outlineLevel="1" x14ac:dyDescent="0.3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>
        <v>0</v>
      </c>
      <c r="E62" s="2"/>
      <c r="F62" s="19">
        <f t="shared" si="15"/>
        <v>0</v>
      </c>
      <c r="G62" s="2"/>
      <c r="H62" s="2"/>
      <c r="I62" s="2"/>
      <c r="J62" s="19">
        <f t="shared" si="16"/>
        <v>0</v>
      </c>
      <c r="K62" s="2"/>
      <c r="L62" s="2">
        <f t="shared" si="17"/>
        <v>0</v>
      </c>
      <c r="M62" s="2"/>
      <c r="N62" s="19">
        <f t="shared" si="18"/>
        <v>0</v>
      </c>
      <c r="O62" s="11"/>
      <c r="P62" s="2">
        <v>0</v>
      </c>
      <c r="Q62" s="2"/>
      <c r="R62" s="19">
        <f t="shared" si="19"/>
        <v>0</v>
      </c>
      <c r="S62" s="2"/>
      <c r="T62" s="2"/>
      <c r="U62" s="2"/>
      <c r="V62" s="19">
        <f t="shared" si="20"/>
        <v>0</v>
      </c>
      <c r="W62" s="2"/>
      <c r="X62" s="2">
        <f t="shared" si="21"/>
        <v>0</v>
      </c>
      <c r="Y62" s="2"/>
      <c r="Z62" s="19">
        <f t="shared" si="22"/>
        <v>0</v>
      </c>
    </row>
    <row r="63" spans="1:26" s="24" customFormat="1" hidden="1" outlineLevel="1" x14ac:dyDescent="0.3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0</v>
      </c>
      <c r="E63" s="2"/>
      <c r="F63" s="19">
        <f t="shared" si="15"/>
        <v>0</v>
      </c>
      <c r="G63" s="2"/>
      <c r="H63" s="2">
        <v>5633.96</v>
      </c>
      <c r="I63" s="2"/>
      <c r="J63" s="19">
        <f t="shared" si="16"/>
        <v>1.8112229365076667E-2</v>
      </c>
      <c r="K63" s="2"/>
      <c r="L63" s="2">
        <f t="shared" si="17"/>
        <v>-5633.96</v>
      </c>
      <c r="M63" s="2"/>
      <c r="N63" s="19">
        <f t="shared" si="18"/>
        <v>-1</v>
      </c>
      <c r="O63" s="11"/>
      <c r="P63" s="2">
        <v>0</v>
      </c>
      <c r="Q63" s="2"/>
      <c r="R63" s="19">
        <f t="shared" si="19"/>
        <v>0</v>
      </c>
      <c r="S63" s="2"/>
      <c r="T63" s="2">
        <v>8390.17</v>
      </c>
      <c r="U63" s="2"/>
      <c r="V63" s="19">
        <f t="shared" si="20"/>
        <v>1.7269439540443795E-2</v>
      </c>
      <c r="W63" s="2"/>
      <c r="X63" s="2">
        <f t="shared" si="21"/>
        <v>-8390.17</v>
      </c>
      <c r="Y63" s="2"/>
      <c r="Z63" s="19">
        <f t="shared" si="22"/>
        <v>-1</v>
      </c>
    </row>
    <row r="64" spans="1:26" s="24" customFormat="1" hidden="1" outlineLevel="1" x14ac:dyDescent="0.3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-66711.179999999993</v>
      </c>
      <c r="E64" s="2"/>
      <c r="F64" s="19">
        <f t="shared" si="15"/>
        <v>-0.1549025763388468</v>
      </c>
      <c r="G64" s="2"/>
      <c r="H64" s="2">
        <v>-18536.04</v>
      </c>
      <c r="I64" s="2"/>
      <c r="J64" s="19">
        <f t="shared" si="16"/>
        <v>-5.9590236352447604E-2</v>
      </c>
      <c r="K64" s="2"/>
      <c r="L64" s="2">
        <f t="shared" si="17"/>
        <v>-48175.139999999992</v>
      </c>
      <c r="M64" s="2"/>
      <c r="N64" s="19">
        <f t="shared" si="18"/>
        <v>2.5989984915871993</v>
      </c>
      <c r="O64" s="11"/>
      <c r="P64" s="2">
        <v>-148668.13</v>
      </c>
      <c r="Q64" s="2"/>
      <c r="R64" s="19">
        <f t="shared" si="19"/>
        <v>-0.25347625047526329</v>
      </c>
      <c r="S64" s="2"/>
      <c r="T64" s="2">
        <v>-31649.64</v>
      </c>
      <c r="U64" s="2"/>
      <c r="V64" s="19">
        <f t="shared" si="20"/>
        <v>-6.5144275319428749E-2</v>
      </c>
      <c r="W64" s="2"/>
      <c r="X64" s="2">
        <f t="shared" si="21"/>
        <v>-117018.49</v>
      </c>
      <c r="Y64" s="2"/>
      <c r="Z64" s="19">
        <f t="shared" si="22"/>
        <v>3.6973087213630236</v>
      </c>
    </row>
    <row r="65" spans="1:26" s="24" customFormat="1" hidden="1" outlineLevel="1" x14ac:dyDescent="0.3">
      <c r="A65" s="44"/>
      <c r="B65" s="11" t="str">
        <f>CONCATENATE("          ", "5300", " - ", "COG$ OFFSET")</f>
        <v xml:space="preserve">          5300 - COG$ OFFSET</v>
      </c>
      <c r="C65" s="11"/>
      <c r="D65" s="2">
        <v>180200.93</v>
      </c>
      <c r="E65" s="2"/>
      <c r="F65" s="19">
        <f t="shared" si="15"/>
        <v>0.41842444273442908</v>
      </c>
      <c r="G65" s="2"/>
      <c r="H65" s="2">
        <v>180056</v>
      </c>
      <c r="I65" s="2"/>
      <c r="J65" s="19">
        <f t="shared" si="16"/>
        <v>0.57884961386986133</v>
      </c>
      <c r="K65" s="2"/>
      <c r="L65" s="2">
        <f t="shared" si="17"/>
        <v>144.92999999999302</v>
      </c>
      <c r="M65" s="2"/>
      <c r="N65" s="19">
        <f t="shared" si="18"/>
        <v>8.049162482782746E-4</v>
      </c>
      <c r="O65" s="11"/>
      <c r="P65" s="2">
        <v>262920.62</v>
      </c>
      <c r="Q65" s="2"/>
      <c r="R65" s="19">
        <f t="shared" si="19"/>
        <v>0.44827450866726792</v>
      </c>
      <c r="S65" s="2"/>
      <c r="T65" s="2">
        <v>289596</v>
      </c>
      <c r="U65" s="2"/>
      <c r="V65" s="19">
        <f t="shared" si="20"/>
        <v>0.59607381175284424</v>
      </c>
      <c r="W65" s="2"/>
      <c r="X65" s="2">
        <f t="shared" si="21"/>
        <v>-26675.380000000005</v>
      </c>
      <c r="Y65" s="2"/>
      <c r="Z65" s="19">
        <f t="shared" si="22"/>
        <v>-9.2112391055125087E-2</v>
      </c>
    </row>
    <row r="66" spans="1:26" s="24" customFormat="1" hidden="1" outlineLevel="1" x14ac:dyDescent="0.3">
      <c r="A66" s="44"/>
      <c r="B66" s="11" t="str">
        <f>CONCATENATE("          ", "5500", " - ", "FREIGHT-IN")</f>
        <v xml:space="preserve">          5500 - FREIGHT-IN</v>
      </c>
      <c r="C66" s="11"/>
      <c r="D66" s="2">
        <v>3009.17</v>
      </c>
      <c r="E66" s="2"/>
      <c r="F66" s="19">
        <f t="shared" si="15"/>
        <v>6.987257392862301E-3</v>
      </c>
      <c r="G66" s="2"/>
      <c r="H66" s="2"/>
      <c r="I66" s="2"/>
      <c r="J66" s="19">
        <f t="shared" si="16"/>
        <v>0</v>
      </c>
      <c r="K66" s="2"/>
      <c r="L66" s="2">
        <f t="shared" si="17"/>
        <v>3009.17</v>
      </c>
      <c r="M66" s="2"/>
      <c r="N66" s="19">
        <f t="shared" si="18"/>
        <v>0</v>
      </c>
      <c r="O66" s="11"/>
      <c r="P66" s="2">
        <v>4410.49</v>
      </c>
      <c r="Q66" s="2"/>
      <c r="R66" s="19">
        <f t="shared" si="19"/>
        <v>7.5197990851075076E-3</v>
      </c>
      <c r="S66" s="2"/>
      <c r="T66" s="2"/>
      <c r="U66" s="2"/>
      <c r="V66" s="19">
        <f t="shared" si="20"/>
        <v>0</v>
      </c>
      <c r="W66" s="2"/>
      <c r="X66" s="2">
        <f t="shared" si="21"/>
        <v>4410.49</v>
      </c>
      <c r="Y66" s="2"/>
      <c r="Z66" s="19">
        <f t="shared" si="22"/>
        <v>0</v>
      </c>
    </row>
    <row r="67" spans="1:26" s="24" customFormat="1" hidden="1" outlineLevel="1" x14ac:dyDescent="0.3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>
        <v>0</v>
      </c>
      <c r="E67" s="2"/>
      <c r="F67" s="19">
        <f t="shared" si="15"/>
        <v>0</v>
      </c>
      <c r="G67" s="2"/>
      <c r="H67" s="2"/>
      <c r="I67" s="2"/>
      <c r="J67" s="19">
        <f t="shared" si="16"/>
        <v>0</v>
      </c>
      <c r="K67" s="2"/>
      <c r="L67" s="2">
        <f t="shared" si="17"/>
        <v>0</v>
      </c>
      <c r="M67" s="2"/>
      <c r="N67" s="19">
        <f t="shared" si="18"/>
        <v>0</v>
      </c>
      <c r="O67" s="11"/>
      <c r="P67" s="2">
        <v>0</v>
      </c>
      <c r="Q67" s="2"/>
      <c r="R67" s="19">
        <f t="shared" si="19"/>
        <v>0</v>
      </c>
      <c r="S67" s="2"/>
      <c r="T67" s="2"/>
      <c r="U67" s="2"/>
      <c r="V67" s="19">
        <f t="shared" si="20"/>
        <v>0</v>
      </c>
      <c r="W67" s="2"/>
      <c r="X67" s="2">
        <f t="shared" si="21"/>
        <v>0</v>
      </c>
      <c r="Y67" s="2"/>
      <c r="Z67" s="19">
        <f t="shared" si="22"/>
        <v>0</v>
      </c>
    </row>
    <row r="68" spans="1:26" s="24" customFormat="1" hidden="1" outlineLevel="1" x14ac:dyDescent="0.3">
      <c r="A68" s="44"/>
      <c r="B68" s="11" t="str">
        <f>CONCATENATE("          ", "5540", " - ", "FREIGHT-IN-LOGO CLOTHING")</f>
        <v xml:space="preserve">          5540 - FREIGHT-IN-LOGO CLOTHING</v>
      </c>
      <c r="C68" s="11"/>
      <c r="D68" s="2">
        <v>0</v>
      </c>
      <c r="E68" s="2"/>
      <c r="F68" s="19">
        <f t="shared" si="15"/>
        <v>0</v>
      </c>
      <c r="G68" s="2"/>
      <c r="H68" s="2">
        <v>1021.7</v>
      </c>
      <c r="I68" s="2"/>
      <c r="J68" s="19">
        <f t="shared" si="16"/>
        <v>3.2845928516174821E-3</v>
      </c>
      <c r="K68" s="2"/>
      <c r="L68" s="2">
        <f t="shared" si="17"/>
        <v>-1021.7</v>
      </c>
      <c r="M68" s="2"/>
      <c r="N68" s="19">
        <f t="shared" si="18"/>
        <v>-1</v>
      </c>
      <c r="O68" s="11"/>
      <c r="P68" s="2">
        <v>0</v>
      </c>
      <c r="Q68" s="2"/>
      <c r="R68" s="19">
        <f t="shared" si="19"/>
        <v>0</v>
      </c>
      <c r="S68" s="2"/>
      <c r="T68" s="2">
        <v>1931.53</v>
      </c>
      <c r="U68" s="2"/>
      <c r="V68" s="19">
        <f t="shared" si="20"/>
        <v>3.9756572936607247E-3</v>
      </c>
      <c r="W68" s="2"/>
      <c r="X68" s="2">
        <f t="shared" si="21"/>
        <v>-1931.53</v>
      </c>
      <c r="Y68" s="2"/>
      <c r="Z68" s="19">
        <f t="shared" si="22"/>
        <v>-1</v>
      </c>
    </row>
    <row r="69" spans="1:26" s="24" customFormat="1" hidden="1" outlineLevel="1" x14ac:dyDescent="0.3">
      <c r="A69" s="44"/>
      <c r="B69" s="11" t="str">
        <f>CONCATENATE("          ", "5541", " - ", "FREIGHT-IN-LOGO GIFTS")</f>
        <v xml:space="preserve">          5541 - FREIGHT-IN-LOGO GIFTS</v>
      </c>
      <c r="C69" s="11"/>
      <c r="D69" s="2">
        <v>0</v>
      </c>
      <c r="E69" s="2"/>
      <c r="F69" s="19">
        <f t="shared" si="15"/>
        <v>0</v>
      </c>
      <c r="G69" s="2"/>
      <c r="H69" s="2">
        <v>123.12</v>
      </c>
      <c r="I69" s="2"/>
      <c r="J69" s="19">
        <f t="shared" si="16"/>
        <v>3.9580999499965196E-4</v>
      </c>
      <c r="K69" s="2"/>
      <c r="L69" s="2">
        <f t="shared" si="17"/>
        <v>-123.12</v>
      </c>
      <c r="M69" s="2"/>
      <c r="N69" s="19">
        <f t="shared" si="18"/>
        <v>-1</v>
      </c>
      <c r="O69" s="11"/>
      <c r="P69" s="2">
        <v>0</v>
      </c>
      <c r="Q69" s="2"/>
      <c r="R69" s="19">
        <f t="shared" si="19"/>
        <v>0</v>
      </c>
      <c r="S69" s="2"/>
      <c r="T69" s="2">
        <v>206.7</v>
      </c>
      <c r="U69" s="2"/>
      <c r="V69" s="19">
        <f t="shared" si="20"/>
        <v>4.2544944298026526E-4</v>
      </c>
      <c r="W69" s="2"/>
      <c r="X69" s="2">
        <f t="shared" si="21"/>
        <v>-206.7</v>
      </c>
      <c r="Y69" s="2"/>
      <c r="Z69" s="19">
        <f t="shared" si="22"/>
        <v>-1</v>
      </c>
    </row>
    <row r="70" spans="1:26" s="24" customFormat="1" hidden="1" outlineLevel="1" x14ac:dyDescent="0.3">
      <c r="A70" s="44"/>
      <c r="B70" s="11" t="str">
        <f>CONCATENATE("          ", "5542", " - ", "FREIGHT-IN-EVERYDAY GIFTS")</f>
        <v xml:space="preserve">          5542 - FREIGHT-IN-EVERYDAY GIFTS</v>
      </c>
      <c r="C70" s="11"/>
      <c r="D70" s="2">
        <v>0</v>
      </c>
      <c r="E70" s="2"/>
      <c r="F70" s="19">
        <f t="shared" si="15"/>
        <v>0</v>
      </c>
      <c r="G70" s="2"/>
      <c r="H70" s="2"/>
      <c r="I70" s="2"/>
      <c r="J70" s="19">
        <f t="shared" si="16"/>
        <v>0</v>
      </c>
      <c r="K70" s="2"/>
      <c r="L70" s="2">
        <f t="shared" si="17"/>
        <v>0</v>
      </c>
      <c r="M70" s="2"/>
      <c r="N70" s="19">
        <f t="shared" si="18"/>
        <v>0</v>
      </c>
      <c r="O70" s="11"/>
      <c r="P70" s="2">
        <v>0</v>
      </c>
      <c r="Q70" s="2"/>
      <c r="R70" s="19">
        <f t="shared" si="19"/>
        <v>0</v>
      </c>
      <c r="S70" s="2"/>
      <c r="T70" s="2">
        <v>5.94</v>
      </c>
      <c r="U70" s="2"/>
      <c r="V70" s="19">
        <f t="shared" si="20"/>
        <v>1.222626846300327E-5</v>
      </c>
      <c r="W70" s="2"/>
      <c r="X70" s="2">
        <f t="shared" si="21"/>
        <v>-5.94</v>
      </c>
      <c r="Y70" s="2"/>
      <c r="Z70" s="19">
        <f t="shared" si="22"/>
        <v>-1</v>
      </c>
    </row>
    <row r="71" spans="1:26" s="24" customFormat="1" hidden="1" outlineLevel="1" x14ac:dyDescent="0.3">
      <c r="A71" s="44"/>
      <c r="B71" s="11" t="str">
        <f>CONCATENATE("          ", "5544", " - ", "FREIGHT-IN-ACCESSORIES")</f>
        <v xml:space="preserve">          5544 - FREIGHT-IN-ACCESSORIES</v>
      </c>
      <c r="C71" s="11"/>
      <c r="D71" s="2">
        <v>0</v>
      </c>
      <c r="E71" s="2"/>
      <c r="F71" s="19">
        <f t="shared" si="15"/>
        <v>0</v>
      </c>
      <c r="G71" s="2"/>
      <c r="H71" s="2"/>
      <c r="I71" s="2"/>
      <c r="J71" s="19">
        <f t="shared" si="16"/>
        <v>0</v>
      </c>
      <c r="K71" s="2"/>
      <c r="L71" s="2">
        <f t="shared" si="17"/>
        <v>0</v>
      </c>
      <c r="M71" s="2"/>
      <c r="N71" s="19">
        <f t="shared" si="18"/>
        <v>0</v>
      </c>
      <c r="O71" s="11"/>
      <c r="P71" s="2">
        <v>0</v>
      </c>
      <c r="Q71" s="2"/>
      <c r="R71" s="19">
        <f t="shared" si="19"/>
        <v>0</v>
      </c>
      <c r="S71" s="2"/>
      <c r="T71" s="2"/>
      <c r="U71" s="2"/>
      <c r="V71" s="19">
        <f t="shared" si="20"/>
        <v>0</v>
      </c>
      <c r="W71" s="2"/>
      <c r="X71" s="2">
        <f t="shared" si="21"/>
        <v>0</v>
      </c>
      <c r="Y71" s="2"/>
      <c r="Z71" s="19">
        <f t="shared" si="22"/>
        <v>0</v>
      </c>
    </row>
    <row r="72" spans="1:26" s="24" customFormat="1" hidden="1" outlineLevel="1" x14ac:dyDescent="0.3">
      <c r="A72" s="44"/>
      <c r="B72" s="11" t="str">
        <f>CONCATENATE("          ", "5545", " - ", "FREIGHT-IN-SPECIAL ORDERS")</f>
        <v xml:space="preserve">          5545 - FREIGHT-IN-SPECIAL ORDERS</v>
      </c>
      <c r="C72" s="11"/>
      <c r="D72" s="2">
        <v>0</v>
      </c>
      <c r="E72" s="2"/>
      <c r="F72" s="19">
        <f t="shared" si="15"/>
        <v>0</v>
      </c>
      <c r="G72" s="2"/>
      <c r="H72" s="2">
        <v>145.6</v>
      </c>
      <c r="I72" s="2"/>
      <c r="J72" s="19">
        <f t="shared" si="16"/>
        <v>4.6807939629588466E-4</v>
      </c>
      <c r="K72" s="2"/>
      <c r="L72" s="2">
        <f t="shared" si="17"/>
        <v>-145.6</v>
      </c>
      <c r="M72" s="2"/>
      <c r="N72" s="19">
        <f t="shared" si="18"/>
        <v>-1</v>
      </c>
      <c r="O72" s="11"/>
      <c r="P72" s="2">
        <v>0</v>
      </c>
      <c r="Q72" s="2"/>
      <c r="R72" s="19">
        <f t="shared" si="19"/>
        <v>0</v>
      </c>
      <c r="S72" s="2"/>
      <c r="T72" s="2">
        <v>446</v>
      </c>
      <c r="U72" s="2"/>
      <c r="V72" s="19">
        <f t="shared" si="20"/>
        <v>9.1799928190226571E-4</v>
      </c>
      <c r="W72" s="2"/>
      <c r="X72" s="2">
        <f t="shared" si="21"/>
        <v>-446</v>
      </c>
      <c r="Y72" s="2"/>
      <c r="Z72" s="19">
        <f t="shared" si="22"/>
        <v>-1</v>
      </c>
    </row>
    <row r="73" spans="1:26" x14ac:dyDescent="0.3">
      <c r="A73" s="9"/>
      <c r="B73" s="10"/>
      <c r="C73" s="10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O73" s="10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s="23" customFormat="1" x14ac:dyDescent="0.3">
      <c r="A74" s="10"/>
      <c r="B74" s="25" t="s">
        <v>107</v>
      </c>
      <c r="C74" s="25"/>
      <c r="D74" s="20">
        <f>D12-D53</f>
        <v>250464.47</v>
      </c>
      <c r="E74" s="13"/>
      <c r="F74" s="22">
        <f>IF(D$12=0,0,D74/D$12)</f>
        <v>0.58157555726557086</v>
      </c>
      <c r="G74" s="13"/>
      <c r="H74" s="20">
        <f>H12-H53</f>
        <v>131002.33999999991</v>
      </c>
      <c r="I74" s="13"/>
      <c r="J74" s="22">
        <f>IF(H$12=0,0,H74/H$12)</f>
        <v>0.42115038613013861</v>
      </c>
      <c r="K74" s="15"/>
      <c r="L74" s="20">
        <f>+D74-H74</f>
        <v>119462.13000000009</v>
      </c>
      <c r="M74" s="15"/>
      <c r="N74" s="22">
        <f>IF(H74=0,0,L74/H74)</f>
        <v>0.91190836743832338</v>
      </c>
      <c r="O74" s="26"/>
      <c r="P74" s="20">
        <f>P12-P53</f>
        <v>323596.38</v>
      </c>
      <c r="Q74" s="13"/>
      <c r="R74" s="22">
        <f>IF(P$12=0,0,P74/P$12)</f>
        <v>0.55172549133273208</v>
      </c>
      <c r="S74" s="13"/>
      <c r="T74" s="20">
        <f>T12-T53</f>
        <v>195243.21999999997</v>
      </c>
      <c r="U74" s="13"/>
      <c r="V74" s="22">
        <f>IF(T$12=0,0,T74/T$12)</f>
        <v>0.40186801739077593</v>
      </c>
      <c r="W74" s="15"/>
      <c r="X74" s="20">
        <f>+P74-T74</f>
        <v>128353.16000000003</v>
      </c>
      <c r="Y74" s="15"/>
      <c r="Z74" s="22">
        <f>IF(T74=0,0,X74/T74)</f>
        <v>0.65740136840603247</v>
      </c>
    </row>
    <row r="75" spans="1:26" x14ac:dyDescent="0.3">
      <c r="A75" s="9"/>
      <c r="B75" s="10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">
      <c r="A76" s="10"/>
      <c r="B76" s="26" t="s">
        <v>294</v>
      </c>
      <c r="C76" s="10"/>
      <c r="D76" s="21">
        <f>SUM(OSRRefD22x_0)</f>
        <v>98819.290000000008</v>
      </c>
      <c r="E76" s="21"/>
      <c r="F76" s="32">
        <f t="shared" ref="F76:F85" si="23">IF(D$12=0,0,D76/D$12)</f>
        <v>0.22945723060176185</v>
      </c>
      <c r="G76" s="21"/>
      <c r="H76" s="21">
        <f>SUM(OSRRefH22x_0)</f>
        <v>78463.589999999982</v>
      </c>
      <c r="I76" s="21"/>
      <c r="J76" s="32">
        <f t="shared" ref="J76:J85" si="24">IF(H$12=0,0,H76/H$12)</f>
        <v>0.25224718295609755</v>
      </c>
      <c r="K76" s="4"/>
      <c r="L76" s="21">
        <f t="shared" ref="L76:L85" si="25">+D76-H76</f>
        <v>20355.700000000026</v>
      </c>
      <c r="M76" s="4"/>
      <c r="N76" s="32">
        <f t="shared" ref="N76:N85" si="26">IF(H76=0,0,L76/H76)</f>
        <v>0.25942860886176672</v>
      </c>
      <c r="O76" s="10"/>
      <c r="P76" s="21">
        <f>SUM(OSRRefP22x_0)</f>
        <v>195012.08000000007</v>
      </c>
      <c r="Q76" s="21"/>
      <c r="R76" s="32">
        <f t="shared" ref="R76:R85" si="27">IF(P$12=0,0,P76/P$12)</f>
        <v>0.33249177773193289</v>
      </c>
      <c r="S76" s="21"/>
      <c r="T76" s="21">
        <f>SUM(OSRRefT22x_0)</f>
        <v>141246.05000000005</v>
      </c>
      <c r="U76" s="21"/>
      <c r="V76" s="32">
        <f t="shared" ref="V76:V85" si="28">IF(T$12=0,0,T76/T$12)</f>
        <v>0.29072594724558648</v>
      </c>
      <c r="W76" s="4"/>
      <c r="X76" s="21">
        <f t="shared" ref="X76:X85" si="29">+P76-T76</f>
        <v>53766.030000000028</v>
      </c>
      <c r="Y76" s="4"/>
      <c r="Z76" s="32">
        <f t="shared" ref="Z76:Z85" si="30">IF(T76=0,0,X76/T76)</f>
        <v>0.3806551050454155</v>
      </c>
    </row>
    <row r="77" spans="1:26" s="28" customFormat="1" outlineLevel="1" collapsed="1" x14ac:dyDescent="0.3">
      <c r="A77" s="29"/>
      <c r="B77" s="14" t="str">
        <f>CONCATENATE("     ","*Benefits                                         ")</f>
        <v xml:space="preserve">     *Benefits                                         </v>
      </c>
      <c r="C77" s="14"/>
      <c r="D77" s="1">
        <f>SUM(OSRRefD22_0x_0)</f>
        <v>15134.39</v>
      </c>
      <c r="E77" s="1"/>
      <c r="F77" s="5">
        <f t="shared" si="23"/>
        <v>3.5141875804278681E-2</v>
      </c>
      <c r="G77" s="1"/>
      <c r="H77" s="1">
        <f>SUM(OSRRefH22_0x_0)</f>
        <v>15999.289999999999</v>
      </c>
      <c r="I77" s="1"/>
      <c r="J77" s="5">
        <f t="shared" si="24"/>
        <v>5.1435013766227916E-2</v>
      </c>
      <c r="K77" s="1"/>
      <c r="L77" s="1">
        <f t="shared" si="25"/>
        <v>-864.89999999999964</v>
      </c>
      <c r="M77" s="1"/>
      <c r="N77" s="5">
        <f t="shared" si="26"/>
        <v>-5.4058648852542815E-2</v>
      </c>
      <c r="O77" s="14"/>
      <c r="P77" s="1">
        <f>SUM(OSRRefP22_0x_0)</f>
        <v>28812.59</v>
      </c>
      <c r="Q77" s="1"/>
      <c r="R77" s="5">
        <f t="shared" si="27"/>
        <v>4.9124901750503394E-2</v>
      </c>
      <c r="S77" s="1"/>
      <c r="T77" s="1">
        <f>SUM(OSRRefT22_0x_0)</f>
        <v>29064.719999999998</v>
      </c>
      <c r="U77" s="1"/>
      <c r="V77" s="5">
        <f t="shared" si="28"/>
        <v>5.9823749077781208E-2</v>
      </c>
      <c r="W77" s="1"/>
      <c r="X77" s="1">
        <f t="shared" si="29"/>
        <v>-252.12999999999738</v>
      </c>
      <c r="Y77" s="1"/>
      <c r="Z77" s="5">
        <f t="shared" si="30"/>
        <v>-8.6747782190916486E-3</v>
      </c>
    </row>
    <row r="78" spans="1:26" s="24" customFormat="1" hidden="1" outlineLevel="2" x14ac:dyDescent="0.3">
      <c r="A78" s="27"/>
      <c r="B78" s="11" t="str">
        <f>CONCATENATE("          ", "6111", " - ", "F.I.C.A.")</f>
        <v xml:space="preserve">          6111 - F.I.C.A.</v>
      </c>
      <c r="C78" s="11"/>
      <c r="D78" s="7">
        <v>4182.6899999999996</v>
      </c>
      <c r="E78" s="2"/>
      <c r="F78" s="8">
        <f t="shared" si="23"/>
        <v>9.7121570481399234E-3</v>
      </c>
      <c r="G78" s="2"/>
      <c r="H78" s="7">
        <v>2882.59</v>
      </c>
      <c r="I78" s="2"/>
      <c r="J78" s="8">
        <f t="shared" si="24"/>
        <v>9.2670397456631488E-3</v>
      </c>
      <c r="K78" s="2"/>
      <c r="L78" s="7">
        <f t="shared" si="25"/>
        <v>1300.0999999999995</v>
      </c>
      <c r="M78" s="2"/>
      <c r="N78" s="8">
        <f t="shared" si="26"/>
        <v>0.45101800811076131</v>
      </c>
      <c r="O78" s="11"/>
      <c r="P78" s="7">
        <v>7440.09</v>
      </c>
      <c r="Q78" s="2"/>
      <c r="R78" s="8">
        <f t="shared" si="27"/>
        <v>1.2685207760388872E-2</v>
      </c>
      <c r="S78" s="2"/>
      <c r="T78" s="7">
        <v>4954.8</v>
      </c>
      <c r="U78" s="2"/>
      <c r="V78" s="8">
        <f t="shared" si="28"/>
        <v>1.0198436865402121E-2</v>
      </c>
      <c r="W78" s="2"/>
      <c r="X78" s="7">
        <f t="shared" si="29"/>
        <v>2485.29</v>
      </c>
      <c r="Y78" s="2"/>
      <c r="Z78" s="8">
        <f t="shared" si="30"/>
        <v>0.50159239525308785</v>
      </c>
    </row>
    <row r="79" spans="1:26" s="24" customFormat="1" hidden="1" outlineLevel="2" x14ac:dyDescent="0.3">
      <c r="A79" s="27"/>
      <c r="B79" s="11" t="str">
        <f>CONCATENATE("          ", "6112", " - ", "COMPENSATION INSURANCE")</f>
        <v xml:space="preserve">          6112 - COMPENSATION INSURANCE</v>
      </c>
      <c r="C79" s="11"/>
      <c r="D79" s="7">
        <v>929.2</v>
      </c>
      <c r="E79" s="2"/>
      <c r="F79" s="8">
        <f t="shared" si="23"/>
        <v>2.1575914851761947E-3</v>
      </c>
      <c r="G79" s="2"/>
      <c r="H79" s="7">
        <v>983.4</v>
      </c>
      <c r="I79" s="2"/>
      <c r="J79" s="8">
        <f t="shared" si="24"/>
        <v>3.161464823608331E-3</v>
      </c>
      <c r="K79" s="2"/>
      <c r="L79" s="7">
        <f t="shared" si="25"/>
        <v>-54.199999999999932</v>
      </c>
      <c r="M79" s="2"/>
      <c r="N79" s="8">
        <f t="shared" si="26"/>
        <v>-5.5114907463900686E-2</v>
      </c>
      <c r="O79" s="11"/>
      <c r="P79" s="7">
        <v>1663.23</v>
      </c>
      <c r="Q79" s="2"/>
      <c r="R79" s="8">
        <f t="shared" si="27"/>
        <v>2.8357745811289359E-3</v>
      </c>
      <c r="S79" s="2"/>
      <c r="T79" s="7">
        <v>1574.38</v>
      </c>
      <c r="U79" s="2"/>
      <c r="V79" s="8">
        <f t="shared" si="28"/>
        <v>3.2405374651149981E-3</v>
      </c>
      <c r="W79" s="2"/>
      <c r="X79" s="7">
        <f t="shared" si="29"/>
        <v>88.849999999999909</v>
      </c>
      <c r="Y79" s="2"/>
      <c r="Z79" s="8">
        <f t="shared" si="30"/>
        <v>5.6434914061408235E-2</v>
      </c>
    </row>
    <row r="80" spans="1:26" s="24" customFormat="1" hidden="1" outlineLevel="2" x14ac:dyDescent="0.3">
      <c r="A80" s="27"/>
      <c r="B80" s="11" t="str">
        <f>CONCATENATE("          ", "6113", " - ", "GROUP INSURANCE")</f>
        <v xml:space="preserve">          6113 - GROUP INSURANCE</v>
      </c>
      <c r="C80" s="11"/>
      <c r="D80" s="7">
        <v>4811.13</v>
      </c>
      <c r="E80" s="2"/>
      <c r="F80" s="8">
        <f t="shared" si="23"/>
        <v>1.1171387346185693E-2</v>
      </c>
      <c r="G80" s="2"/>
      <c r="H80" s="7">
        <v>6377.33</v>
      </c>
      <c r="I80" s="2"/>
      <c r="J80" s="8">
        <f t="shared" si="24"/>
        <v>2.0502038299310674E-2</v>
      </c>
      <c r="K80" s="2"/>
      <c r="L80" s="7">
        <f t="shared" si="25"/>
        <v>-1566.1999999999998</v>
      </c>
      <c r="M80" s="2"/>
      <c r="N80" s="8">
        <f t="shared" si="26"/>
        <v>-0.24558867112098634</v>
      </c>
      <c r="O80" s="11"/>
      <c r="P80" s="7">
        <v>9622.26</v>
      </c>
      <c r="Q80" s="2"/>
      <c r="R80" s="8">
        <f t="shared" si="27"/>
        <v>1.6405764879790355E-2</v>
      </c>
      <c r="S80" s="2"/>
      <c r="T80" s="7">
        <v>11215.93</v>
      </c>
      <c r="U80" s="2"/>
      <c r="V80" s="8">
        <f t="shared" si="28"/>
        <v>2.3085685394318562E-2</v>
      </c>
      <c r="W80" s="2"/>
      <c r="X80" s="7">
        <f t="shared" si="29"/>
        <v>-1593.67</v>
      </c>
      <c r="Y80" s="2"/>
      <c r="Z80" s="8">
        <f t="shared" si="30"/>
        <v>-0.14208986682334859</v>
      </c>
    </row>
    <row r="81" spans="1:26" s="24" customFormat="1" hidden="1" outlineLevel="2" x14ac:dyDescent="0.3">
      <c r="A81" s="27"/>
      <c r="B81" s="11" t="str">
        <f>CONCATENATE("          ", "6114", " - ", "STATE UNEMPLOYMENT INSURANCE")</f>
        <v xml:space="preserve">          6114 - STATE UNEMPLOYMENT INSURANCE</v>
      </c>
      <c r="C81" s="11"/>
      <c r="D81" s="7">
        <v>163.22999999999999</v>
      </c>
      <c r="E81" s="2"/>
      <c r="F81" s="8">
        <f t="shared" si="23"/>
        <v>3.7901814262302007E-4</v>
      </c>
      <c r="G81" s="2"/>
      <c r="H81" s="7">
        <v>107.75</v>
      </c>
      <c r="I81" s="2"/>
      <c r="J81" s="8">
        <f t="shared" si="24"/>
        <v>3.4639804224506578E-4</v>
      </c>
      <c r="K81" s="2"/>
      <c r="L81" s="7">
        <f t="shared" si="25"/>
        <v>55.47999999999999</v>
      </c>
      <c r="M81" s="2"/>
      <c r="N81" s="8">
        <f t="shared" si="26"/>
        <v>0.51489559164733167</v>
      </c>
      <c r="O81" s="11"/>
      <c r="P81" s="7">
        <v>292.18</v>
      </c>
      <c r="Q81" s="2"/>
      <c r="R81" s="8">
        <f t="shared" si="27"/>
        <v>4.9816117861886363E-4</v>
      </c>
      <c r="S81" s="2"/>
      <c r="T81" s="7">
        <v>175.15</v>
      </c>
      <c r="U81" s="2"/>
      <c r="V81" s="8">
        <f t="shared" si="28"/>
        <v>3.6051025611027321E-4</v>
      </c>
      <c r="W81" s="2"/>
      <c r="X81" s="7">
        <f t="shared" si="29"/>
        <v>117.03</v>
      </c>
      <c r="Y81" s="2"/>
      <c r="Z81" s="8">
        <f t="shared" si="30"/>
        <v>0.66817013988010276</v>
      </c>
    </row>
    <row r="82" spans="1:26" s="24" customFormat="1" hidden="1" outlineLevel="2" x14ac:dyDescent="0.3">
      <c r="A82" s="27"/>
      <c r="B82" s="11" t="str">
        <f>CONCATENATE("          ", "6115", " - ", "P.E.R.S.")</f>
        <v xml:space="preserve">          6115 - P.E.R.S.</v>
      </c>
      <c r="C82" s="11"/>
      <c r="D82" s="7">
        <v>1579.48</v>
      </c>
      <c r="E82" s="2"/>
      <c r="F82" s="8">
        <f t="shared" si="23"/>
        <v>3.6675340066789669E-3</v>
      </c>
      <c r="G82" s="2"/>
      <c r="H82" s="7">
        <v>1889.29</v>
      </c>
      <c r="I82" s="2"/>
      <c r="J82" s="8">
        <f t="shared" si="24"/>
        <v>6.073748094971511E-3</v>
      </c>
      <c r="K82" s="2"/>
      <c r="L82" s="7">
        <f t="shared" si="25"/>
        <v>-309.80999999999995</v>
      </c>
      <c r="M82" s="2"/>
      <c r="N82" s="8">
        <f t="shared" si="26"/>
        <v>-0.16398223671326262</v>
      </c>
      <c r="O82" s="11"/>
      <c r="P82" s="7">
        <v>3158.96</v>
      </c>
      <c r="Q82" s="2"/>
      <c r="R82" s="8">
        <f t="shared" si="27"/>
        <v>5.385964942192639E-3</v>
      </c>
      <c r="S82" s="2"/>
      <c r="T82" s="7">
        <v>4401.66</v>
      </c>
      <c r="U82" s="2"/>
      <c r="V82" s="8">
        <f t="shared" si="28"/>
        <v>9.0599119264079073E-3</v>
      </c>
      <c r="W82" s="2"/>
      <c r="X82" s="7">
        <f t="shared" si="29"/>
        <v>-1242.6999999999998</v>
      </c>
      <c r="Y82" s="2"/>
      <c r="Z82" s="8">
        <f t="shared" si="30"/>
        <v>-0.28232530454419463</v>
      </c>
    </row>
    <row r="83" spans="1:26" s="24" customFormat="1" hidden="1" outlineLevel="2" x14ac:dyDescent="0.3">
      <c r="A83" s="27"/>
      <c r="B83" s="11" t="str">
        <f>CONCATENATE("          ", "6118", " - ", "VACATION")</f>
        <v xml:space="preserve">          6118 - VACATION</v>
      </c>
      <c r="C83" s="11"/>
      <c r="D83" s="7">
        <v>1659.06</v>
      </c>
      <c r="E83" s="2"/>
      <c r="F83" s="8">
        <f t="shared" si="23"/>
        <v>3.8523178318945516E-3</v>
      </c>
      <c r="G83" s="2"/>
      <c r="H83" s="7">
        <v>1849.98</v>
      </c>
      <c r="I83" s="2"/>
      <c r="J83" s="8">
        <f t="shared" si="24"/>
        <v>5.9473730876336596E-3</v>
      </c>
      <c r="K83" s="2"/>
      <c r="L83" s="7">
        <f t="shared" si="25"/>
        <v>-190.92000000000007</v>
      </c>
      <c r="M83" s="2"/>
      <c r="N83" s="8">
        <f t="shared" si="26"/>
        <v>-0.1032011156877372</v>
      </c>
      <c r="O83" s="11"/>
      <c r="P83" s="7">
        <v>3318.12</v>
      </c>
      <c r="Q83" s="2"/>
      <c r="R83" s="8">
        <f t="shared" si="27"/>
        <v>5.6573296255692501E-3</v>
      </c>
      <c r="S83" s="2"/>
      <c r="T83" s="7">
        <v>3475.01</v>
      </c>
      <c r="U83" s="2"/>
      <c r="V83" s="8">
        <f t="shared" si="28"/>
        <v>7.1525934632358573E-3</v>
      </c>
      <c r="W83" s="2"/>
      <c r="X83" s="7">
        <f t="shared" si="29"/>
        <v>-156.89000000000033</v>
      </c>
      <c r="Y83" s="2"/>
      <c r="Z83" s="8">
        <f t="shared" si="30"/>
        <v>-4.5148071516341051E-2</v>
      </c>
    </row>
    <row r="84" spans="1:26" s="24" customFormat="1" hidden="1" outlineLevel="2" x14ac:dyDescent="0.3">
      <c r="A84" s="27"/>
      <c r="B84" s="11" t="str">
        <f>CONCATENATE("          ", "6119", " - ", "SICK LEAVE")</f>
        <v xml:space="preserve">          6119 - SICK LEAVE</v>
      </c>
      <c r="C84" s="11"/>
      <c r="D84" s="7">
        <v>1120.42</v>
      </c>
      <c r="E84" s="2"/>
      <c r="F84" s="8">
        <f t="shared" si="23"/>
        <v>2.6016020790154029E-3</v>
      </c>
      <c r="G84" s="2"/>
      <c r="H84" s="7">
        <v>1319.82</v>
      </c>
      <c r="I84" s="2"/>
      <c r="J84" s="8">
        <f t="shared" si="24"/>
        <v>4.2429982748573795E-3</v>
      </c>
      <c r="K84" s="2"/>
      <c r="L84" s="7">
        <f t="shared" si="25"/>
        <v>-199.39999999999986</v>
      </c>
      <c r="M84" s="2"/>
      <c r="N84" s="8">
        <f t="shared" si="26"/>
        <v>-0.15108120804352099</v>
      </c>
      <c r="O84" s="11"/>
      <c r="P84" s="7">
        <v>2240.84</v>
      </c>
      <c r="Q84" s="2"/>
      <c r="R84" s="8">
        <f t="shared" si="27"/>
        <v>3.8205883205431387E-3</v>
      </c>
      <c r="S84" s="2"/>
      <c r="T84" s="7">
        <v>2320.35</v>
      </c>
      <c r="U84" s="2"/>
      <c r="V84" s="8">
        <f t="shared" si="28"/>
        <v>4.7759633043989282E-3</v>
      </c>
      <c r="W84" s="2"/>
      <c r="X84" s="7">
        <f t="shared" si="29"/>
        <v>-79.509999999999764</v>
      </c>
      <c r="Y84" s="2"/>
      <c r="Z84" s="8">
        <f t="shared" si="30"/>
        <v>-3.4266382226819131E-2</v>
      </c>
    </row>
    <row r="85" spans="1:26" s="24" customFormat="1" hidden="1" outlineLevel="2" x14ac:dyDescent="0.3">
      <c r="A85" s="27"/>
      <c r="B85" s="11" t="str">
        <f>CONCATENATE("          ", "6156", " - ", "EMPLOYEE MEALS")</f>
        <v xml:space="preserve">          6156 - EMPLOYEE MEALS</v>
      </c>
      <c r="C85" s="11"/>
      <c r="D85" s="7">
        <v>689.18</v>
      </c>
      <c r="E85" s="2"/>
      <c r="F85" s="8">
        <f t="shared" si="23"/>
        <v>1.6002678645649264E-3</v>
      </c>
      <c r="G85" s="2"/>
      <c r="H85" s="7">
        <v>589.13</v>
      </c>
      <c r="I85" s="2"/>
      <c r="J85" s="8">
        <f t="shared" si="24"/>
        <v>1.8939533979381493E-3</v>
      </c>
      <c r="K85" s="2"/>
      <c r="L85" s="7">
        <f t="shared" si="25"/>
        <v>100.04999999999995</v>
      </c>
      <c r="M85" s="2"/>
      <c r="N85" s="8">
        <f t="shared" si="26"/>
        <v>0.16982669359903579</v>
      </c>
      <c r="O85" s="11"/>
      <c r="P85" s="7">
        <v>1076.9100000000001</v>
      </c>
      <c r="Q85" s="2"/>
      <c r="R85" s="8">
        <f t="shared" si="27"/>
        <v>1.836110462271341E-3</v>
      </c>
      <c r="S85" s="2"/>
      <c r="T85" s="7">
        <v>947.44</v>
      </c>
      <c r="U85" s="2"/>
      <c r="V85" s="8">
        <f t="shared" si="28"/>
        <v>1.950110402792562E-3</v>
      </c>
      <c r="W85" s="2"/>
      <c r="X85" s="7">
        <f t="shared" si="29"/>
        <v>129.47000000000003</v>
      </c>
      <c r="Y85" s="2"/>
      <c r="Z85" s="8">
        <f t="shared" si="30"/>
        <v>0.13665245292577896</v>
      </c>
    </row>
    <row r="86" spans="1:26" s="28" customFormat="1" outlineLevel="1" collapsed="1" x14ac:dyDescent="0.3">
      <c r="A86" s="29"/>
      <c r="B86" s="14" t="str">
        <f>CONCATENATE("     ","*Payroll                                          ")</f>
        <v xml:space="preserve">     *Payroll                                          </v>
      </c>
      <c r="C86" s="14"/>
      <c r="D86" s="1">
        <f>SUM(OSRRefD22_1x_0)</f>
        <v>66607.640000000014</v>
      </c>
      <c r="E86" s="1"/>
      <c r="F86" s="5">
        <f t="shared" ref="F86:F91" si="31">IF(D$12=0,0,D86/D$12)</f>
        <v>0.15466215767507677</v>
      </c>
      <c r="G86" s="1"/>
      <c r="H86" s="1">
        <f>SUM(OSRRefH22_1x_0)</f>
        <v>41314.639999999999</v>
      </c>
      <c r="I86" s="1"/>
      <c r="J86" s="5">
        <f t="shared" ref="J86:J91" si="32">IF(H$12=0,0,H86/H$12)</f>
        <v>0.13281958619080914</v>
      </c>
      <c r="K86" s="1"/>
      <c r="L86" s="1">
        <f t="shared" ref="L86:L91" si="33">+D86-H86</f>
        <v>25293.000000000015</v>
      </c>
      <c r="M86" s="1"/>
      <c r="N86" s="5">
        <f t="shared" ref="N86:N91" si="34">IF(H86=0,0,L86/H86)</f>
        <v>0.61220429368378892</v>
      </c>
      <c r="O86" s="14"/>
      <c r="P86" s="1">
        <f>SUM(OSRRefP22_1x_0)</f>
        <v>125823.96</v>
      </c>
      <c r="Q86" s="1"/>
      <c r="R86" s="5">
        <f t="shared" ref="R86:R91" si="35">IF(P$12=0,0,P86/P$12)</f>
        <v>0.21452738795294937</v>
      </c>
      <c r="S86" s="1"/>
      <c r="T86" s="1">
        <f>SUM(OSRRefT22_1x_0)</f>
        <v>73608.189999999988</v>
      </c>
      <c r="U86" s="1"/>
      <c r="V86" s="5">
        <f t="shared" ref="V86:V91" si="36">IF(T$12=0,0,T86/T$12)</f>
        <v>0.15150732188817381</v>
      </c>
      <c r="W86" s="1"/>
      <c r="X86" s="1">
        <f t="shared" ref="X86:X91" si="37">+P86-T86</f>
        <v>52215.770000000019</v>
      </c>
      <c r="Y86" s="1"/>
      <c r="Z86" s="5">
        <f t="shared" ref="Z86:Z91" si="38">IF(T86=0,0,X86/T86)</f>
        <v>0.70937445955402556</v>
      </c>
    </row>
    <row r="87" spans="1:26" s="24" customFormat="1" hidden="1" outlineLevel="2" x14ac:dyDescent="0.3">
      <c r="A87" s="27"/>
      <c r="B87" s="11" t="str">
        <f>CONCATENATE("          ", "6002", " - ", "STAFF SALARIES")</f>
        <v xml:space="preserve">          6002 - STAFF SALARIES</v>
      </c>
      <c r="C87" s="11"/>
      <c r="D87" s="7">
        <v>17127.64</v>
      </c>
      <c r="E87" s="2"/>
      <c r="F87" s="8">
        <f t="shared" si="31"/>
        <v>3.9770178890619026E-2</v>
      </c>
      <c r="G87" s="2"/>
      <c r="H87" s="7">
        <v>18082.939999999999</v>
      </c>
      <c r="I87" s="2"/>
      <c r="J87" s="8">
        <f t="shared" si="32"/>
        <v>5.8133596417958136E-2</v>
      </c>
      <c r="K87" s="2"/>
      <c r="L87" s="7">
        <f t="shared" si="33"/>
        <v>-955.29999999999927</v>
      </c>
      <c r="M87" s="2"/>
      <c r="N87" s="8">
        <f t="shared" si="34"/>
        <v>-5.2828798856823025E-2</v>
      </c>
      <c r="O87" s="11"/>
      <c r="P87" s="7">
        <v>34253.46</v>
      </c>
      <c r="Q87" s="2"/>
      <c r="R87" s="8">
        <f t="shared" si="35"/>
        <v>5.8401478559018748E-2</v>
      </c>
      <c r="S87" s="2"/>
      <c r="T87" s="7">
        <v>40173.339999999997</v>
      </c>
      <c r="U87" s="2"/>
      <c r="V87" s="8">
        <f t="shared" si="36"/>
        <v>8.2688558904967638E-2</v>
      </c>
      <c r="W87" s="2"/>
      <c r="X87" s="7">
        <f t="shared" si="37"/>
        <v>-5919.8799999999974</v>
      </c>
      <c r="Y87" s="2"/>
      <c r="Z87" s="8">
        <f t="shared" si="38"/>
        <v>-0.14735842227706231</v>
      </c>
    </row>
    <row r="88" spans="1:26" s="24" customFormat="1" hidden="1" outlineLevel="2" x14ac:dyDescent="0.3">
      <c r="A88" s="27"/>
      <c r="B88" s="11" t="str">
        <f>CONCATENATE("          ", "6004", " - ", "STAFF HOURLY")</f>
        <v xml:space="preserve">          6004 - STAFF HOURLY</v>
      </c>
      <c r="C88" s="11"/>
      <c r="D88" s="7">
        <v>8099.25</v>
      </c>
      <c r="E88" s="2"/>
      <c r="F88" s="8">
        <f t="shared" si="31"/>
        <v>1.880636336236902E-2</v>
      </c>
      <c r="G88" s="2"/>
      <c r="H88" s="7">
        <v>7211.23</v>
      </c>
      <c r="I88" s="2"/>
      <c r="J88" s="8">
        <f t="shared" si="32"/>
        <v>2.3182885885650911E-2</v>
      </c>
      <c r="K88" s="2"/>
      <c r="L88" s="7">
        <f t="shared" si="33"/>
        <v>888.02000000000044</v>
      </c>
      <c r="M88" s="2"/>
      <c r="N88" s="8">
        <f t="shared" si="34"/>
        <v>0.12314404061443061</v>
      </c>
      <c r="O88" s="11"/>
      <c r="P88" s="7">
        <v>16445.080000000002</v>
      </c>
      <c r="Q88" s="2"/>
      <c r="R88" s="8">
        <f t="shared" si="35"/>
        <v>2.8038539377375254E-2</v>
      </c>
      <c r="S88" s="2"/>
      <c r="T88" s="7">
        <v>13950.95</v>
      </c>
      <c r="U88" s="2"/>
      <c r="V88" s="8">
        <f t="shared" si="36"/>
        <v>2.8715161618507654E-2</v>
      </c>
      <c r="W88" s="2"/>
      <c r="X88" s="7">
        <f t="shared" si="37"/>
        <v>2494.130000000001</v>
      </c>
      <c r="Y88" s="2"/>
      <c r="Z88" s="8">
        <f t="shared" si="38"/>
        <v>0.17877850612323898</v>
      </c>
    </row>
    <row r="89" spans="1:26" s="24" customFormat="1" hidden="1" outlineLevel="2" x14ac:dyDescent="0.3">
      <c r="A89" s="27"/>
      <c r="B89" s="11" t="str">
        <f>CONCATENATE("          ", "6005", " - ", "TEMPORARY WAGES-HOURLY")</f>
        <v xml:space="preserve">          6005 - TEMPORARY WAGES-HOURLY</v>
      </c>
      <c r="C89" s="11"/>
      <c r="D89" s="7">
        <v>3244.26</v>
      </c>
      <c r="E89" s="2"/>
      <c r="F89" s="8">
        <f t="shared" si="31"/>
        <v>7.5331336113836867E-3</v>
      </c>
      <c r="G89" s="2"/>
      <c r="H89" s="7">
        <v>4486.28</v>
      </c>
      <c r="I89" s="2"/>
      <c r="J89" s="8">
        <f t="shared" si="32"/>
        <v>1.4422632101746576E-2</v>
      </c>
      <c r="K89" s="2"/>
      <c r="L89" s="7">
        <f t="shared" si="33"/>
        <v>-1242.0199999999995</v>
      </c>
      <c r="M89" s="2"/>
      <c r="N89" s="8">
        <f t="shared" si="34"/>
        <v>-0.27684852483572125</v>
      </c>
      <c r="O89" s="11"/>
      <c r="P89" s="7">
        <v>6610.03</v>
      </c>
      <c r="Q89" s="2"/>
      <c r="R89" s="8">
        <f t="shared" si="35"/>
        <v>1.126997171437486E-2</v>
      </c>
      <c r="S89" s="2"/>
      <c r="T89" s="7">
        <v>6423.71</v>
      </c>
      <c r="U89" s="2"/>
      <c r="V89" s="8">
        <f t="shared" si="36"/>
        <v>1.322188602499642E-2</v>
      </c>
      <c r="W89" s="2"/>
      <c r="X89" s="7">
        <f t="shared" si="37"/>
        <v>186.31999999999971</v>
      </c>
      <c r="Y89" s="2"/>
      <c r="Z89" s="8">
        <f t="shared" si="38"/>
        <v>2.9005045370977162E-2</v>
      </c>
    </row>
    <row r="90" spans="1:26" s="24" customFormat="1" hidden="1" outlineLevel="2" x14ac:dyDescent="0.3">
      <c r="A90" s="27"/>
      <c r="B90" s="11" t="str">
        <f>CONCATENATE("          ", "6007", " - ", "STUDENT HOURLY")</f>
        <v xml:space="preserve">          6007 - STUDENT HOURLY</v>
      </c>
      <c r="C90" s="11"/>
      <c r="D90" s="7">
        <v>28817.95</v>
      </c>
      <c r="E90" s="2"/>
      <c r="F90" s="8">
        <f t="shared" si="31"/>
        <v>6.6914941390694496E-2</v>
      </c>
      <c r="G90" s="2"/>
      <c r="H90" s="7">
        <v>11101.16</v>
      </c>
      <c r="I90" s="2"/>
      <c r="J90" s="8">
        <f t="shared" si="32"/>
        <v>3.5688353509505652E-2</v>
      </c>
      <c r="K90" s="2"/>
      <c r="L90" s="7">
        <f t="shared" si="33"/>
        <v>17716.79</v>
      </c>
      <c r="M90" s="2"/>
      <c r="N90" s="8">
        <f t="shared" si="34"/>
        <v>1.595940424243953</v>
      </c>
      <c r="O90" s="11"/>
      <c r="P90" s="7">
        <v>51378.66</v>
      </c>
      <c r="Q90" s="2"/>
      <c r="R90" s="8">
        <f t="shared" si="35"/>
        <v>8.7599609218488125E-2</v>
      </c>
      <c r="S90" s="2"/>
      <c r="T90" s="7">
        <v>12627.16</v>
      </c>
      <c r="U90" s="2"/>
      <c r="V90" s="8">
        <f t="shared" si="36"/>
        <v>2.5990412135571777E-2</v>
      </c>
      <c r="W90" s="2"/>
      <c r="X90" s="7">
        <f t="shared" si="37"/>
        <v>38751.5</v>
      </c>
      <c r="Y90" s="2"/>
      <c r="Z90" s="8">
        <f t="shared" si="38"/>
        <v>3.068900687090367</v>
      </c>
    </row>
    <row r="91" spans="1:26" s="24" customFormat="1" hidden="1" outlineLevel="2" x14ac:dyDescent="0.3">
      <c r="A91" s="27"/>
      <c r="B91" s="11" t="str">
        <f>CONCATENATE("          ", "6008", " - ", "STUDENT HOURLY-FICA EXEMPT")</f>
        <v xml:space="preserve">          6008 - STUDENT HOURLY-FICA EXEMPT</v>
      </c>
      <c r="C91" s="11"/>
      <c r="D91" s="7">
        <v>9318.5400000000009</v>
      </c>
      <c r="E91" s="2"/>
      <c r="F91" s="8">
        <f t="shared" si="31"/>
        <v>2.1637540420010523E-2</v>
      </c>
      <c r="G91" s="2"/>
      <c r="H91" s="7">
        <v>433.03</v>
      </c>
      <c r="I91" s="2"/>
      <c r="J91" s="8">
        <f t="shared" si="32"/>
        <v>1.3921182759478498E-3</v>
      </c>
      <c r="K91" s="2"/>
      <c r="L91" s="7">
        <f t="shared" si="33"/>
        <v>8885.51</v>
      </c>
      <c r="M91" s="2"/>
      <c r="N91" s="8">
        <f t="shared" si="34"/>
        <v>20.519386647576383</v>
      </c>
      <c r="O91" s="11"/>
      <c r="P91" s="7">
        <v>17136.73</v>
      </c>
      <c r="Q91" s="2"/>
      <c r="R91" s="8">
        <f t="shared" si="35"/>
        <v>2.9217789083692373E-2</v>
      </c>
      <c r="S91" s="2"/>
      <c r="T91" s="7">
        <v>433.03</v>
      </c>
      <c r="U91" s="2"/>
      <c r="V91" s="8">
        <f t="shared" si="36"/>
        <v>8.9130320413035441E-4</v>
      </c>
      <c r="W91" s="2"/>
      <c r="X91" s="7">
        <f t="shared" si="37"/>
        <v>16703.7</v>
      </c>
      <c r="Y91" s="2"/>
      <c r="Z91" s="8">
        <f t="shared" si="38"/>
        <v>38.574001801260884</v>
      </c>
    </row>
    <row r="92" spans="1:26" s="28" customFormat="1" outlineLevel="1" collapsed="1" x14ac:dyDescent="0.3">
      <c r="A92" s="29"/>
      <c r="B92" s="14" t="str">
        <f>CONCATENATE("     ","Advertising/Promo                                 ")</f>
        <v xml:space="preserve">     Advertising/Promo                                 </v>
      </c>
      <c r="C92" s="14"/>
      <c r="D92" s="1">
        <f>SUM(OSRRefD22_2x_0)</f>
        <v>1263.1199999999999</v>
      </c>
      <c r="E92" s="1"/>
      <c r="F92" s="5">
        <f t="shared" ref="F92:F100" si="39">IF(D$12=0,0,D92/D$12)</f>
        <v>2.9329498027935372E-3</v>
      </c>
      <c r="G92" s="1"/>
      <c r="H92" s="1">
        <f>SUM(OSRRefH22_2x_0)</f>
        <v>9301.39</v>
      </c>
      <c r="I92" s="1"/>
      <c r="J92" s="5">
        <f t="shared" ref="J92:J100" si="40">IF(H$12=0,0,H92/H$12)</f>
        <v>2.9902397087311666E-2</v>
      </c>
      <c r="K92" s="1"/>
      <c r="L92" s="1">
        <f t="shared" ref="L92:L100" si="41">+D92-H92</f>
        <v>-8038.2699999999995</v>
      </c>
      <c r="M92" s="1"/>
      <c r="N92" s="5">
        <f t="shared" ref="N92:N100" si="42">IF(H92=0,0,L92/H92)</f>
        <v>-0.86420094200974262</v>
      </c>
      <c r="O92" s="14"/>
      <c r="P92" s="1">
        <f>SUM(OSRRefP22_2x_0)</f>
        <v>1656.75</v>
      </c>
      <c r="Q92" s="1"/>
      <c r="R92" s="5">
        <f t="shared" ref="R92:R100" si="43">IF(P$12=0,0,P92/P$12)</f>
        <v>2.8247263080183522E-3</v>
      </c>
      <c r="S92" s="1"/>
      <c r="T92" s="1">
        <f>SUM(OSRRefT22_2x_0)</f>
        <v>10642.32</v>
      </c>
      <c r="U92" s="1"/>
      <c r="V92" s="5">
        <f t="shared" ref="V92:V100" si="44">IF(T$12=0,0,T92/T$12)</f>
        <v>2.1905027169897132E-2</v>
      </c>
      <c r="W92" s="1"/>
      <c r="X92" s="1">
        <f t="shared" ref="X92:X100" si="45">+P92-T92</f>
        <v>-8985.57</v>
      </c>
      <c r="Y92" s="1"/>
      <c r="Z92" s="5">
        <f t="shared" ref="Z92:Z100" si="46">IF(T92=0,0,X92/T92)</f>
        <v>-0.84432435784678528</v>
      </c>
    </row>
    <row r="93" spans="1:26" s="24" customFormat="1" hidden="1" outlineLevel="2" x14ac:dyDescent="0.3">
      <c r="A93" s="27"/>
      <c r="B93" s="11" t="str">
        <f>CONCATENATE("          ", "6362", " - ", "ADVERTISING EXPENSE")</f>
        <v xml:space="preserve">          6362 - ADVERTISING EXPENSE</v>
      </c>
      <c r="C93" s="11"/>
      <c r="D93" s="7">
        <v>1263.1199999999999</v>
      </c>
      <c r="E93" s="2"/>
      <c r="F93" s="8">
        <f t="shared" si="39"/>
        <v>2.9329498027935372E-3</v>
      </c>
      <c r="G93" s="2"/>
      <c r="H93" s="7">
        <v>9301.39</v>
      </c>
      <c r="I93" s="2"/>
      <c r="J93" s="8">
        <f t="shared" si="40"/>
        <v>2.9902397087311666E-2</v>
      </c>
      <c r="K93" s="2"/>
      <c r="L93" s="7">
        <f t="shared" si="41"/>
        <v>-8038.2699999999995</v>
      </c>
      <c r="M93" s="2"/>
      <c r="N93" s="8">
        <f t="shared" si="42"/>
        <v>-0.86420094200974262</v>
      </c>
      <c r="O93" s="11"/>
      <c r="P93" s="7">
        <v>1656.75</v>
      </c>
      <c r="Q93" s="2"/>
      <c r="R93" s="8">
        <f t="shared" si="43"/>
        <v>2.8247263080183522E-3</v>
      </c>
      <c r="S93" s="2"/>
      <c r="T93" s="7">
        <v>10642.32</v>
      </c>
      <c r="U93" s="2"/>
      <c r="V93" s="8">
        <f t="shared" si="44"/>
        <v>2.1905027169897132E-2</v>
      </c>
      <c r="W93" s="2"/>
      <c r="X93" s="7">
        <f t="shared" si="45"/>
        <v>-8985.57</v>
      </c>
      <c r="Y93" s="2"/>
      <c r="Z93" s="8">
        <f t="shared" si="46"/>
        <v>-0.84432435784678528</v>
      </c>
    </row>
    <row r="94" spans="1:26" s="28" customFormat="1" outlineLevel="1" collapsed="1" x14ac:dyDescent="0.3">
      <c r="A94" s="29"/>
      <c r="B94" s="14" t="str">
        <f>CONCATENATE("     ","Bad Debts/Over/Short                              ")</f>
        <v xml:space="preserve">     Bad Debts/Over/Short                              </v>
      </c>
      <c r="C94" s="14"/>
      <c r="D94" s="1">
        <f>SUM(OSRRefD22_3x_0)</f>
        <v>7.0000000000000007E-2</v>
      </c>
      <c r="E94" s="1"/>
      <c r="F94" s="5">
        <f t="shared" si="39"/>
        <v>1.6253917774680762E-7</v>
      </c>
      <c r="G94" s="1"/>
      <c r="H94" s="1">
        <f>SUM(OSRRefH22_3x_0)</f>
        <v>4.5599999999999996</v>
      </c>
      <c r="I94" s="1"/>
      <c r="J94" s="5">
        <f t="shared" si="40"/>
        <v>1.4659629444431552E-5</v>
      </c>
      <c r="K94" s="1"/>
      <c r="L94" s="1">
        <f t="shared" si="41"/>
        <v>-4.4899999999999993</v>
      </c>
      <c r="M94" s="1"/>
      <c r="N94" s="5">
        <f t="shared" si="42"/>
        <v>-0.98464912280701744</v>
      </c>
      <c r="O94" s="14"/>
      <c r="P94" s="1">
        <f>SUM(OSRRefP22_3x_0)</f>
        <v>0.67</v>
      </c>
      <c r="Q94" s="1"/>
      <c r="R94" s="5">
        <f t="shared" si="43"/>
        <v>1.1423368802609302E-6</v>
      </c>
      <c r="S94" s="1"/>
      <c r="T94" s="1">
        <f>SUM(OSRRefT22_3x_0)</f>
        <v>3.66</v>
      </c>
      <c r="U94" s="1"/>
      <c r="V94" s="5">
        <f t="shared" si="44"/>
        <v>7.5333573357898935E-6</v>
      </c>
      <c r="W94" s="1"/>
      <c r="X94" s="1">
        <f t="shared" si="45"/>
        <v>-2.99</v>
      </c>
      <c r="Y94" s="1"/>
      <c r="Z94" s="5">
        <f t="shared" si="46"/>
        <v>-0.81693989071038253</v>
      </c>
    </row>
    <row r="95" spans="1:26" s="24" customFormat="1" hidden="1" outlineLevel="2" x14ac:dyDescent="0.3">
      <c r="A95" s="27"/>
      <c r="B95" s="11" t="str">
        <f>CONCATENATE("          ", "6272", " - ", "CASH (OVER/SHORT)")</f>
        <v xml:space="preserve">          6272 - CASH (OVER/SHORT)</v>
      </c>
      <c r="C95" s="11"/>
      <c r="D95" s="7">
        <v>7.0000000000000007E-2</v>
      </c>
      <c r="E95" s="2"/>
      <c r="F95" s="8">
        <f t="shared" si="39"/>
        <v>1.6253917774680762E-7</v>
      </c>
      <c r="G95" s="2"/>
      <c r="H95" s="7">
        <v>4.5599999999999996</v>
      </c>
      <c r="I95" s="2"/>
      <c r="J95" s="8">
        <f t="shared" si="40"/>
        <v>1.4659629444431552E-5</v>
      </c>
      <c r="K95" s="2"/>
      <c r="L95" s="7">
        <f t="shared" si="41"/>
        <v>-4.4899999999999993</v>
      </c>
      <c r="M95" s="2"/>
      <c r="N95" s="8">
        <f t="shared" si="42"/>
        <v>-0.98464912280701744</v>
      </c>
      <c r="O95" s="11"/>
      <c r="P95" s="7">
        <v>0.67</v>
      </c>
      <c r="Q95" s="2"/>
      <c r="R95" s="8">
        <f t="shared" si="43"/>
        <v>1.1423368802609302E-6</v>
      </c>
      <c r="S95" s="2"/>
      <c r="T95" s="7">
        <v>3.66</v>
      </c>
      <c r="U95" s="2"/>
      <c r="V95" s="8">
        <f t="shared" si="44"/>
        <v>7.5333573357898935E-6</v>
      </c>
      <c r="W95" s="2"/>
      <c r="X95" s="7">
        <f t="shared" si="45"/>
        <v>-2.99</v>
      </c>
      <c r="Y95" s="2"/>
      <c r="Z95" s="8">
        <f t="shared" si="46"/>
        <v>-0.81693989071038253</v>
      </c>
    </row>
    <row r="96" spans="1:26" s="28" customFormat="1" outlineLevel="1" collapsed="1" x14ac:dyDescent="0.3">
      <c r="A96" s="29"/>
      <c r="B96" s="14" t="str">
        <f>CONCATENATE("     ","Bank/card Fees                                    ")</f>
        <v xml:space="preserve">     Bank/card Fees                                    </v>
      </c>
      <c r="C96" s="14"/>
      <c r="D96" s="1">
        <f>SUM(OSRRefD22_4x_0)</f>
        <v>614.21</v>
      </c>
      <c r="E96" s="1"/>
      <c r="F96" s="5">
        <f t="shared" si="39"/>
        <v>1.4261884051980959E-3</v>
      </c>
      <c r="G96" s="1"/>
      <c r="H96" s="1">
        <f>SUM(OSRRefH22_4x_0)</f>
        <v>452.83</v>
      </c>
      <c r="I96" s="1"/>
      <c r="J96" s="5">
        <f t="shared" si="40"/>
        <v>1.4557719301144605E-3</v>
      </c>
      <c r="K96" s="1"/>
      <c r="L96" s="1">
        <f t="shared" si="41"/>
        <v>161.38000000000005</v>
      </c>
      <c r="M96" s="1"/>
      <c r="N96" s="5">
        <f t="shared" si="42"/>
        <v>0.35638098182540923</v>
      </c>
      <c r="O96" s="14"/>
      <c r="P96" s="1">
        <f>SUM(OSRRefP22_4x_0)</f>
        <v>1106.53</v>
      </c>
      <c r="Q96" s="1"/>
      <c r="R96" s="5">
        <f t="shared" si="43"/>
        <v>1.8866119822613836E-3</v>
      </c>
      <c r="S96" s="1"/>
      <c r="T96" s="1">
        <f>SUM(OSRRefT22_4x_0)</f>
        <v>759.72</v>
      </c>
      <c r="U96" s="1"/>
      <c r="V96" s="5">
        <f t="shared" si="44"/>
        <v>1.5637273866519941E-3</v>
      </c>
      <c r="W96" s="1"/>
      <c r="X96" s="1">
        <f t="shared" si="45"/>
        <v>346.80999999999995</v>
      </c>
      <c r="Y96" s="1"/>
      <c r="Z96" s="5">
        <f t="shared" si="46"/>
        <v>0.4564971305217711</v>
      </c>
    </row>
    <row r="97" spans="1:26" s="24" customFormat="1" hidden="1" outlineLevel="2" x14ac:dyDescent="0.3">
      <c r="A97" s="27"/>
      <c r="B97" s="11" t="str">
        <f>CONCATENATE("          ", "6381", " - ", "BANK/CREDIT CARD FEES")</f>
        <v xml:space="preserve">          6381 - BANK/CREDIT CARD FEES</v>
      </c>
      <c r="C97" s="11"/>
      <c r="D97" s="7">
        <v>614.21</v>
      </c>
      <c r="E97" s="2"/>
      <c r="F97" s="8">
        <f t="shared" si="39"/>
        <v>1.4261884051980959E-3</v>
      </c>
      <c r="G97" s="2"/>
      <c r="H97" s="7">
        <v>452.83</v>
      </c>
      <c r="I97" s="2"/>
      <c r="J97" s="8">
        <f t="shared" si="40"/>
        <v>1.4557719301144605E-3</v>
      </c>
      <c r="K97" s="2"/>
      <c r="L97" s="7">
        <f t="shared" si="41"/>
        <v>161.38000000000005</v>
      </c>
      <c r="M97" s="2"/>
      <c r="N97" s="8">
        <f t="shared" si="42"/>
        <v>0.35638098182540923</v>
      </c>
      <c r="O97" s="11"/>
      <c r="P97" s="7">
        <v>1106.53</v>
      </c>
      <c r="Q97" s="2"/>
      <c r="R97" s="8">
        <f t="shared" si="43"/>
        <v>1.8866119822613836E-3</v>
      </c>
      <c r="S97" s="2"/>
      <c r="T97" s="7">
        <v>759.72</v>
      </c>
      <c r="U97" s="2"/>
      <c r="V97" s="8">
        <f t="shared" si="44"/>
        <v>1.5637273866519941E-3</v>
      </c>
      <c r="W97" s="2"/>
      <c r="X97" s="7">
        <f t="shared" si="45"/>
        <v>346.80999999999995</v>
      </c>
      <c r="Y97" s="2"/>
      <c r="Z97" s="8">
        <f t="shared" si="46"/>
        <v>0.4564971305217711</v>
      </c>
    </row>
    <row r="98" spans="1:26" s="28" customFormat="1" outlineLevel="1" collapsed="1" x14ac:dyDescent="0.3">
      <c r="A98" s="29"/>
      <c r="B98" s="14" t="str">
        <f>CONCATENATE("     ","Discounts and Markdowns                           ")</f>
        <v xml:space="preserve">     Discounts and Markdowns                           </v>
      </c>
      <c r="C98" s="14"/>
      <c r="D98" s="1">
        <f>SUM(OSRRefD22_5x_0)</f>
        <v>-66.11</v>
      </c>
      <c r="E98" s="1"/>
      <c r="F98" s="5">
        <f t="shared" si="39"/>
        <v>-1.5350664344059215E-4</v>
      </c>
      <c r="G98" s="1"/>
      <c r="H98" s="1">
        <f>SUM(OSRRefH22_5x_0)</f>
        <v>0</v>
      </c>
      <c r="I98" s="1"/>
      <c r="J98" s="5">
        <f t="shared" si="40"/>
        <v>0</v>
      </c>
      <c r="K98" s="1"/>
      <c r="L98" s="1">
        <f t="shared" si="41"/>
        <v>-66.11</v>
      </c>
      <c r="M98" s="1"/>
      <c r="N98" s="5">
        <f t="shared" si="42"/>
        <v>0</v>
      </c>
      <c r="O98" s="14"/>
      <c r="P98" s="1">
        <f>SUM(OSRRefP22_5x_0)</f>
        <v>-66.11</v>
      </c>
      <c r="Q98" s="1"/>
      <c r="R98" s="5">
        <f t="shared" si="43"/>
        <v>-1.1271625545380611E-4</v>
      </c>
      <c r="S98" s="1"/>
      <c r="T98" s="1">
        <f>SUM(OSRRefT22_5x_0)</f>
        <v>0</v>
      </c>
      <c r="U98" s="1"/>
      <c r="V98" s="5">
        <f t="shared" si="44"/>
        <v>0</v>
      </c>
      <c r="W98" s="1"/>
      <c r="X98" s="1">
        <f t="shared" si="45"/>
        <v>-66.11</v>
      </c>
      <c r="Y98" s="1"/>
      <c r="Z98" s="5">
        <f t="shared" si="46"/>
        <v>0</v>
      </c>
    </row>
    <row r="99" spans="1:26" s="24" customFormat="1" hidden="1" outlineLevel="2" x14ac:dyDescent="0.3">
      <c r="A99" s="27"/>
      <c r="B99" s="11" t="str">
        <f>CONCATENATE("          ", "6382", " - ", "DISCOUNTS/MARK DOWNS")</f>
        <v xml:space="preserve">          6382 - DISCOUNTS/MARK DOWNS</v>
      </c>
      <c r="C99" s="11"/>
      <c r="D99" s="7"/>
      <c r="E99" s="2"/>
      <c r="F99" s="8">
        <f t="shared" si="39"/>
        <v>0</v>
      </c>
      <c r="G99" s="2"/>
      <c r="H99" s="7">
        <v>0</v>
      </c>
      <c r="I99" s="2"/>
      <c r="J99" s="8">
        <f t="shared" si="40"/>
        <v>0</v>
      </c>
      <c r="K99" s="2"/>
      <c r="L99" s="7">
        <f t="shared" si="41"/>
        <v>0</v>
      </c>
      <c r="M99" s="2"/>
      <c r="N99" s="8">
        <f t="shared" si="42"/>
        <v>0</v>
      </c>
      <c r="O99" s="11"/>
      <c r="P99" s="7"/>
      <c r="Q99" s="2"/>
      <c r="R99" s="8">
        <f t="shared" si="43"/>
        <v>0</v>
      </c>
      <c r="S99" s="2"/>
      <c r="T99" s="7">
        <v>0</v>
      </c>
      <c r="U99" s="2"/>
      <c r="V99" s="8">
        <f t="shared" si="44"/>
        <v>0</v>
      </c>
      <c r="W99" s="2"/>
      <c r="X99" s="7">
        <f t="shared" si="45"/>
        <v>0</v>
      </c>
      <c r="Y99" s="2"/>
      <c r="Z99" s="8">
        <f t="shared" si="46"/>
        <v>0</v>
      </c>
    </row>
    <row r="100" spans="1:26" s="24" customFormat="1" hidden="1" outlineLevel="2" x14ac:dyDescent="0.3">
      <c r="A100" s="27"/>
      <c r="B100" s="11" t="str">
        <f>CONCATENATE("          ", "9175", " - ", "EARNED DISCOUNTS")</f>
        <v xml:space="preserve">          9175 - EARNED DISCOUNTS</v>
      </c>
      <c r="C100" s="11"/>
      <c r="D100" s="7">
        <v>-66.11</v>
      </c>
      <c r="E100" s="2"/>
      <c r="F100" s="8">
        <f t="shared" si="39"/>
        <v>-1.5350664344059215E-4</v>
      </c>
      <c r="G100" s="2"/>
      <c r="H100" s="7"/>
      <c r="I100" s="2"/>
      <c r="J100" s="8">
        <f t="shared" si="40"/>
        <v>0</v>
      </c>
      <c r="K100" s="2"/>
      <c r="L100" s="7">
        <f t="shared" si="41"/>
        <v>-66.11</v>
      </c>
      <c r="M100" s="2"/>
      <c r="N100" s="8">
        <f t="shared" si="42"/>
        <v>0</v>
      </c>
      <c r="O100" s="11"/>
      <c r="P100" s="7">
        <v>-66.11</v>
      </c>
      <c r="Q100" s="2"/>
      <c r="R100" s="8">
        <f t="shared" si="43"/>
        <v>-1.1271625545380611E-4</v>
      </c>
      <c r="S100" s="2"/>
      <c r="T100" s="7"/>
      <c r="U100" s="2"/>
      <c r="V100" s="8">
        <f t="shared" si="44"/>
        <v>0</v>
      </c>
      <c r="W100" s="2"/>
      <c r="X100" s="7">
        <f t="shared" si="45"/>
        <v>-66.11</v>
      </c>
      <c r="Y100" s="2"/>
      <c r="Z100" s="8">
        <f t="shared" si="46"/>
        <v>0</v>
      </c>
    </row>
    <row r="101" spans="1:26" s="28" customFormat="1" outlineLevel="1" collapsed="1" x14ac:dyDescent="0.3">
      <c r="A101" s="29"/>
      <c r="B101" s="14" t="str">
        <f>CONCATENATE("     ","Employees' Appreciation                           ")</f>
        <v xml:space="preserve">     Employees' Appreciation                           </v>
      </c>
      <c r="C101" s="14"/>
      <c r="D101" s="1">
        <f>SUM(OSRRefD22_6x_0)</f>
        <v>0</v>
      </c>
      <c r="E101" s="1"/>
      <c r="F101" s="5">
        <f t="shared" ref="F101:F105" si="47">IF(D$12=0,0,D101/D$12)</f>
        <v>0</v>
      </c>
      <c r="G101" s="1"/>
      <c r="H101" s="1">
        <f>SUM(OSRRefH22_6x_0)</f>
        <v>0</v>
      </c>
      <c r="I101" s="1"/>
      <c r="J101" s="5">
        <f t="shared" ref="J101:J105" si="48">IF(H$12=0,0,H101/H$12)</f>
        <v>0</v>
      </c>
      <c r="K101" s="1"/>
      <c r="L101" s="1">
        <f t="shared" ref="L101:L105" si="49">+D101-H101</f>
        <v>0</v>
      </c>
      <c r="M101" s="1"/>
      <c r="N101" s="5">
        <f t="shared" ref="N101:N105" si="50">IF(H101=0,0,L101/H101)</f>
        <v>0</v>
      </c>
      <c r="O101" s="14"/>
      <c r="P101" s="1">
        <f>SUM(OSRRefP22_6x_0)</f>
        <v>216.44</v>
      </c>
      <c r="Q101" s="1"/>
      <c r="R101" s="5">
        <f t="shared" ref="R101:R105" si="51">IF(P$12=0,0,P101/P$12)</f>
        <v>3.6902596173682943E-4</v>
      </c>
      <c r="S101" s="1"/>
      <c r="T101" s="1">
        <f>SUM(OSRRefT22_6x_0)</f>
        <v>0</v>
      </c>
      <c r="U101" s="1"/>
      <c r="V101" s="5">
        <f t="shared" ref="V101:V105" si="52">IF(T$12=0,0,T101/T$12)</f>
        <v>0</v>
      </c>
      <c r="W101" s="1"/>
      <c r="X101" s="1">
        <f t="shared" ref="X101:X105" si="53">+P101-T101</f>
        <v>216.44</v>
      </c>
      <c r="Y101" s="1"/>
      <c r="Z101" s="5">
        <f t="shared" ref="Z101:Z105" si="54">IF(T101=0,0,X101/T101)</f>
        <v>0</v>
      </c>
    </row>
    <row r="102" spans="1:26" s="24" customFormat="1" hidden="1" outlineLevel="2" x14ac:dyDescent="0.3">
      <c r="A102" s="27"/>
      <c r="B102" s="11" t="str">
        <f>CONCATENATE("          ", "6277", " - ", "EMPLOYEE APPRECIATION")</f>
        <v xml:space="preserve">          6277 - EMPLOYEE APPRECIATION</v>
      </c>
      <c r="C102" s="11"/>
      <c r="D102" s="7"/>
      <c r="E102" s="2"/>
      <c r="F102" s="8">
        <f t="shared" si="47"/>
        <v>0</v>
      </c>
      <c r="G102" s="2"/>
      <c r="H102" s="7"/>
      <c r="I102" s="2"/>
      <c r="J102" s="8">
        <f t="shared" si="48"/>
        <v>0</v>
      </c>
      <c r="K102" s="2"/>
      <c r="L102" s="7">
        <f t="shared" si="49"/>
        <v>0</v>
      </c>
      <c r="M102" s="2"/>
      <c r="N102" s="8">
        <f t="shared" si="50"/>
        <v>0</v>
      </c>
      <c r="O102" s="11"/>
      <c r="P102" s="7">
        <v>216.44</v>
      </c>
      <c r="Q102" s="2"/>
      <c r="R102" s="8">
        <f t="shared" si="51"/>
        <v>3.6902596173682943E-4</v>
      </c>
      <c r="S102" s="2"/>
      <c r="T102" s="7"/>
      <c r="U102" s="2"/>
      <c r="V102" s="8">
        <f t="shared" si="52"/>
        <v>0</v>
      </c>
      <c r="W102" s="2"/>
      <c r="X102" s="7">
        <f t="shared" si="53"/>
        <v>216.44</v>
      </c>
      <c r="Y102" s="2"/>
      <c r="Z102" s="8">
        <f t="shared" si="54"/>
        <v>0</v>
      </c>
    </row>
    <row r="103" spans="1:26" s="28" customFormat="1" outlineLevel="1" collapsed="1" x14ac:dyDescent="0.3">
      <c r="A103" s="29"/>
      <c r="B103" s="14" t="str">
        <f>CONCATENATE("     ","Freight out/Postage                               ")</f>
        <v xml:space="preserve">     Freight out/Postage                               </v>
      </c>
      <c r="C103" s="14"/>
      <c r="D103" s="1">
        <f>SUM(OSRRefD22_7x_0)</f>
        <v>16.16</v>
      </c>
      <c r="E103" s="1"/>
      <c r="F103" s="5">
        <f t="shared" si="47"/>
        <v>3.7523330176977298E-5</v>
      </c>
      <c r="G103" s="1"/>
      <c r="H103" s="1">
        <f>SUM(OSRRefH22_7x_0)</f>
        <v>34.06</v>
      </c>
      <c r="I103" s="1"/>
      <c r="J103" s="5">
        <f t="shared" si="48"/>
        <v>1.0949714449064446E-4</v>
      </c>
      <c r="K103" s="1"/>
      <c r="L103" s="1">
        <f t="shared" si="49"/>
        <v>-17.900000000000002</v>
      </c>
      <c r="M103" s="1"/>
      <c r="N103" s="5">
        <f t="shared" si="50"/>
        <v>-0.5255431591309454</v>
      </c>
      <c r="O103" s="14"/>
      <c r="P103" s="1">
        <f>SUM(OSRRefP22_7x_0)</f>
        <v>873.29</v>
      </c>
      <c r="Q103" s="1"/>
      <c r="R103" s="5">
        <f t="shared" si="51"/>
        <v>1.488942349497116E-3</v>
      </c>
      <c r="S103" s="1"/>
      <c r="T103" s="1">
        <f>SUM(OSRRefT22_7x_0)</f>
        <v>50.45</v>
      </c>
      <c r="U103" s="1"/>
      <c r="V103" s="5">
        <f t="shared" si="52"/>
        <v>1.0384095016136615E-4</v>
      </c>
      <c r="W103" s="1"/>
      <c r="X103" s="1">
        <f t="shared" si="53"/>
        <v>822.83999999999992</v>
      </c>
      <c r="Y103" s="1"/>
      <c r="Z103" s="5">
        <f t="shared" si="54"/>
        <v>16.310009910802773</v>
      </c>
    </row>
    <row r="104" spans="1:26" s="24" customFormat="1" hidden="1" outlineLevel="2" x14ac:dyDescent="0.3">
      <c r="A104" s="27"/>
      <c r="B104" s="11" t="str">
        <f>CONCATENATE("          ", "6305", " - ", "FREIGHT OUT")</f>
        <v xml:space="preserve">          6305 - FREIGHT OUT</v>
      </c>
      <c r="C104" s="11"/>
      <c r="D104" s="7">
        <v>16.16</v>
      </c>
      <c r="E104" s="2"/>
      <c r="F104" s="8">
        <f t="shared" si="47"/>
        <v>3.7523330176977298E-5</v>
      </c>
      <c r="G104" s="2"/>
      <c r="H104" s="7">
        <v>34.06</v>
      </c>
      <c r="I104" s="2"/>
      <c r="J104" s="8">
        <f t="shared" si="48"/>
        <v>1.0949714449064446E-4</v>
      </c>
      <c r="K104" s="2"/>
      <c r="L104" s="7">
        <f t="shared" si="49"/>
        <v>-17.900000000000002</v>
      </c>
      <c r="M104" s="2"/>
      <c r="N104" s="8">
        <f t="shared" si="50"/>
        <v>-0.5255431591309454</v>
      </c>
      <c r="O104" s="11"/>
      <c r="P104" s="7">
        <v>861.87</v>
      </c>
      <c r="Q104" s="2"/>
      <c r="R104" s="8">
        <f t="shared" si="51"/>
        <v>1.4694714731201312E-3</v>
      </c>
      <c r="S104" s="2"/>
      <c r="T104" s="7">
        <v>50.45</v>
      </c>
      <c r="U104" s="2"/>
      <c r="V104" s="8">
        <f t="shared" si="52"/>
        <v>1.0384095016136615E-4</v>
      </c>
      <c r="W104" s="2"/>
      <c r="X104" s="7">
        <f t="shared" si="53"/>
        <v>811.42</v>
      </c>
      <c r="Y104" s="2"/>
      <c r="Z104" s="8">
        <f t="shared" si="54"/>
        <v>16.083647175421209</v>
      </c>
    </row>
    <row r="105" spans="1:26" s="24" customFormat="1" hidden="1" outlineLevel="2" x14ac:dyDescent="0.3">
      <c r="A105" s="27"/>
      <c r="B105" s="11" t="str">
        <f>CONCATENATE("          ", "6307", " - ", "POSTAGE")</f>
        <v xml:space="preserve">          6307 - POSTAGE</v>
      </c>
      <c r="C105" s="11"/>
      <c r="D105" s="7"/>
      <c r="E105" s="2"/>
      <c r="F105" s="8">
        <f t="shared" si="47"/>
        <v>0</v>
      </c>
      <c r="G105" s="2"/>
      <c r="H105" s="7"/>
      <c r="I105" s="2"/>
      <c r="J105" s="8">
        <f t="shared" si="48"/>
        <v>0</v>
      </c>
      <c r="K105" s="2"/>
      <c r="L105" s="7">
        <f t="shared" si="49"/>
        <v>0</v>
      </c>
      <c r="M105" s="2"/>
      <c r="N105" s="8">
        <f t="shared" si="50"/>
        <v>0</v>
      </c>
      <c r="O105" s="11"/>
      <c r="P105" s="7">
        <v>11.42</v>
      </c>
      <c r="Q105" s="2"/>
      <c r="R105" s="8">
        <f t="shared" si="51"/>
        <v>1.9470876376984811E-5</v>
      </c>
      <c r="S105" s="2"/>
      <c r="T105" s="7"/>
      <c r="U105" s="2"/>
      <c r="V105" s="8">
        <f t="shared" si="52"/>
        <v>0</v>
      </c>
      <c r="W105" s="2"/>
      <c r="X105" s="7">
        <f t="shared" si="53"/>
        <v>11.42</v>
      </c>
      <c r="Y105" s="2"/>
      <c r="Z105" s="8">
        <f t="shared" si="54"/>
        <v>0</v>
      </c>
    </row>
    <row r="106" spans="1:26" s="28" customFormat="1" outlineLevel="1" collapsed="1" x14ac:dyDescent="0.3">
      <c r="A106" s="29"/>
      <c r="B106" s="14" t="str">
        <f>CONCATENATE("     ","Insurance                                         ")</f>
        <v xml:space="preserve">     Insurance                                         </v>
      </c>
      <c r="C106" s="14"/>
      <c r="D106" s="1">
        <f>SUM(OSRRefD22_8x_0)</f>
        <v>219.08</v>
      </c>
      <c r="E106" s="1"/>
      <c r="F106" s="5">
        <f t="shared" ref="F106:F110" si="55">IF(D$12=0,0,D106/D$12)</f>
        <v>5.0870118658243729E-4</v>
      </c>
      <c r="G106" s="1"/>
      <c r="H106" s="1">
        <f>SUM(OSRRefH22_8x_0)</f>
        <v>161.18</v>
      </c>
      <c r="I106" s="1"/>
      <c r="J106" s="5">
        <f t="shared" ref="J106:J110" si="56">IF(H$12=0,0,H106/H$12)</f>
        <v>5.1816646356435923E-4</v>
      </c>
      <c r="K106" s="1"/>
      <c r="L106" s="1">
        <f t="shared" ref="L106:L110" si="57">+D106-H106</f>
        <v>57.900000000000006</v>
      </c>
      <c r="M106" s="1"/>
      <c r="N106" s="5">
        <f t="shared" ref="N106:N110" si="58">IF(H106=0,0,L106/H106)</f>
        <v>0.35922571038590395</v>
      </c>
      <c r="O106" s="14"/>
      <c r="P106" s="1">
        <f>SUM(OSRRefP22_8x_0)</f>
        <v>438.16</v>
      </c>
      <c r="Q106" s="1"/>
      <c r="R106" s="5">
        <f t="shared" ref="R106:R110" si="59">IF(P$12=0,0,P106/P$12)</f>
        <v>7.470542200822824E-4</v>
      </c>
      <c r="S106" s="1"/>
      <c r="T106" s="1">
        <f>SUM(OSRRefT22_8x_0)</f>
        <v>322.36</v>
      </c>
      <c r="U106" s="1"/>
      <c r="V106" s="5">
        <f t="shared" ref="V106:V110" si="60">IF(T$12=0,0,T106/T$12)</f>
        <v>6.6351176796864211E-4</v>
      </c>
      <c r="W106" s="1"/>
      <c r="X106" s="1">
        <f t="shared" ref="X106:X110" si="61">+P106-T106</f>
        <v>115.80000000000001</v>
      </c>
      <c r="Y106" s="1"/>
      <c r="Z106" s="5">
        <f t="shared" ref="Z106:Z110" si="62">IF(T106=0,0,X106/T106)</f>
        <v>0.35922571038590395</v>
      </c>
    </row>
    <row r="107" spans="1:26" s="24" customFormat="1" hidden="1" outlineLevel="2" x14ac:dyDescent="0.3">
      <c r="A107" s="27"/>
      <c r="B107" s="11" t="str">
        <f>CONCATENATE("          ", "6314", " - ", "LIABILITY INSURANCE")</f>
        <v xml:space="preserve">          6314 - LIABILITY INSURANCE</v>
      </c>
      <c r="C107" s="11"/>
      <c r="D107" s="7">
        <v>219.08</v>
      </c>
      <c r="E107" s="2"/>
      <c r="F107" s="8">
        <f t="shared" si="55"/>
        <v>5.0870118658243729E-4</v>
      </c>
      <c r="G107" s="2"/>
      <c r="H107" s="7">
        <v>161.18</v>
      </c>
      <c r="I107" s="2"/>
      <c r="J107" s="8">
        <f t="shared" si="56"/>
        <v>5.1816646356435923E-4</v>
      </c>
      <c r="K107" s="2"/>
      <c r="L107" s="7">
        <f t="shared" si="57"/>
        <v>57.900000000000006</v>
      </c>
      <c r="M107" s="2"/>
      <c r="N107" s="8">
        <f t="shared" si="58"/>
        <v>0.35922571038590395</v>
      </c>
      <c r="O107" s="11"/>
      <c r="P107" s="7">
        <v>438.16</v>
      </c>
      <c r="Q107" s="2"/>
      <c r="R107" s="8">
        <f t="shared" si="59"/>
        <v>7.470542200822824E-4</v>
      </c>
      <c r="S107" s="2"/>
      <c r="T107" s="7">
        <v>322.36</v>
      </c>
      <c r="U107" s="2"/>
      <c r="V107" s="8">
        <f t="shared" si="60"/>
        <v>6.6351176796864211E-4</v>
      </c>
      <c r="W107" s="2"/>
      <c r="X107" s="7">
        <f t="shared" si="61"/>
        <v>115.80000000000001</v>
      </c>
      <c r="Y107" s="2"/>
      <c r="Z107" s="8">
        <f t="shared" si="62"/>
        <v>0.35922571038590395</v>
      </c>
    </row>
    <row r="108" spans="1:26" s="28" customFormat="1" outlineLevel="1" collapsed="1" x14ac:dyDescent="0.3">
      <c r="A108" s="29"/>
      <c r="B108" s="14" t="str">
        <f>CONCATENATE("     ","Inventory Adjustment                              ")</f>
        <v xml:space="preserve">     Inventory Adjustment                              </v>
      </c>
      <c r="C108" s="14"/>
      <c r="D108" s="1">
        <f>SUM(OSRRefD22_9x_0)</f>
        <v>3450</v>
      </c>
      <c r="E108" s="1"/>
      <c r="F108" s="5">
        <f t="shared" si="55"/>
        <v>8.0108594746640897E-3</v>
      </c>
      <c r="G108" s="1"/>
      <c r="H108" s="1">
        <f>SUM(OSRRefH22_9x_0)</f>
        <v>1100</v>
      </c>
      <c r="I108" s="1"/>
      <c r="J108" s="5">
        <f t="shared" si="56"/>
        <v>3.5363141203672609E-3</v>
      </c>
      <c r="K108" s="1"/>
      <c r="L108" s="1">
        <f t="shared" si="57"/>
        <v>2350</v>
      </c>
      <c r="M108" s="1"/>
      <c r="N108" s="5">
        <f t="shared" si="58"/>
        <v>2.1363636363636362</v>
      </c>
      <c r="O108" s="14"/>
      <c r="P108" s="1">
        <f>SUM(OSRRefP22_9x_0)</f>
        <v>6900</v>
      </c>
      <c r="Q108" s="1"/>
      <c r="R108" s="5">
        <f t="shared" si="59"/>
        <v>1.1764364886269281E-2</v>
      </c>
      <c r="S108" s="1"/>
      <c r="T108" s="1">
        <f>SUM(OSRRefT22_9x_0)</f>
        <v>2200</v>
      </c>
      <c r="U108" s="1"/>
      <c r="V108" s="5">
        <f t="shared" si="60"/>
        <v>4.5282475788900999E-3</v>
      </c>
      <c r="W108" s="1"/>
      <c r="X108" s="1">
        <f t="shared" si="61"/>
        <v>4700</v>
      </c>
      <c r="Y108" s="1"/>
      <c r="Z108" s="5">
        <f t="shared" si="62"/>
        <v>2.1363636363636362</v>
      </c>
    </row>
    <row r="109" spans="1:26" s="24" customFormat="1" hidden="1" outlineLevel="2" x14ac:dyDescent="0.3">
      <c r="A109" s="27"/>
      <c r="B109" s="11" t="str">
        <f>CONCATENATE("          ", "6408", " - ", "INVENTORY ADJUSTMENT")</f>
        <v xml:space="preserve">          6408 - INVENTORY ADJUSTMENT</v>
      </c>
      <c r="C109" s="11"/>
      <c r="D109" s="7">
        <v>3450</v>
      </c>
      <c r="E109" s="2"/>
      <c r="F109" s="8">
        <f t="shared" si="55"/>
        <v>8.0108594746640897E-3</v>
      </c>
      <c r="G109" s="2"/>
      <c r="H109" s="7">
        <v>1100</v>
      </c>
      <c r="I109" s="2"/>
      <c r="J109" s="8">
        <f t="shared" si="56"/>
        <v>3.5363141203672609E-3</v>
      </c>
      <c r="K109" s="2"/>
      <c r="L109" s="7">
        <f t="shared" si="57"/>
        <v>2350</v>
      </c>
      <c r="M109" s="2"/>
      <c r="N109" s="8">
        <f t="shared" si="58"/>
        <v>2.1363636363636362</v>
      </c>
      <c r="O109" s="11"/>
      <c r="P109" s="7">
        <v>6900</v>
      </c>
      <c r="Q109" s="2"/>
      <c r="R109" s="8">
        <f t="shared" si="59"/>
        <v>1.1764364886269281E-2</v>
      </c>
      <c r="S109" s="2"/>
      <c r="T109" s="7">
        <v>2200</v>
      </c>
      <c r="U109" s="2"/>
      <c r="V109" s="8">
        <f t="shared" si="60"/>
        <v>4.5282475788900999E-3</v>
      </c>
      <c r="W109" s="2"/>
      <c r="X109" s="7">
        <f t="shared" si="61"/>
        <v>4700</v>
      </c>
      <c r="Y109" s="2"/>
      <c r="Z109" s="8">
        <f t="shared" si="62"/>
        <v>2.1363636363636362</v>
      </c>
    </row>
    <row r="110" spans="1:26" s="24" customFormat="1" hidden="1" outlineLevel="2" x14ac:dyDescent="0.3">
      <c r="A110" s="27"/>
      <c r="B110" s="11" t="str">
        <f>CONCATENATE("          ", "7741", " - ", "INV. SHRINKAGE-LOGO GIFTS")</f>
        <v xml:space="preserve">          7741 - INV. SHRINKAGE-LOGO GIFTS</v>
      </c>
      <c r="C110" s="11"/>
      <c r="D110" s="7"/>
      <c r="E110" s="2"/>
      <c r="F110" s="8">
        <f t="shared" si="55"/>
        <v>0</v>
      </c>
      <c r="G110" s="2"/>
      <c r="H110" s="7"/>
      <c r="I110" s="2"/>
      <c r="J110" s="8">
        <f t="shared" si="56"/>
        <v>0</v>
      </c>
      <c r="K110" s="2"/>
      <c r="L110" s="7">
        <f t="shared" si="57"/>
        <v>0</v>
      </c>
      <c r="M110" s="2"/>
      <c r="N110" s="8">
        <f t="shared" si="58"/>
        <v>0</v>
      </c>
      <c r="O110" s="11"/>
      <c r="P110" s="7"/>
      <c r="Q110" s="2"/>
      <c r="R110" s="8">
        <f t="shared" si="59"/>
        <v>0</v>
      </c>
      <c r="S110" s="2"/>
      <c r="T110" s="7">
        <v>0</v>
      </c>
      <c r="U110" s="2"/>
      <c r="V110" s="8">
        <f t="shared" si="60"/>
        <v>0</v>
      </c>
      <c r="W110" s="2"/>
      <c r="X110" s="7">
        <f t="shared" si="61"/>
        <v>0</v>
      </c>
      <c r="Y110" s="2"/>
      <c r="Z110" s="8">
        <f t="shared" si="62"/>
        <v>0</v>
      </c>
    </row>
    <row r="111" spans="1:26" s="28" customFormat="1" outlineLevel="1" collapsed="1" x14ac:dyDescent="0.3">
      <c r="A111" s="29"/>
      <c r="B111" s="14" t="str">
        <f>CONCATENATE("     ","Rent                                              ")</f>
        <v xml:space="preserve">     Rent                                              </v>
      </c>
      <c r="C111" s="14"/>
      <c r="D111" s="1">
        <f>SUM(OSRRefD22_10x_0)</f>
        <v>6900</v>
      </c>
      <c r="E111" s="1"/>
      <c r="F111" s="5">
        <f t="shared" ref="F111:F115" si="63">IF(D$12=0,0,D111/D$12)</f>
        <v>1.6021718949328179E-2</v>
      </c>
      <c r="G111" s="1"/>
      <c r="H111" s="1">
        <f>SUM(OSRRefH22_10x_0)</f>
        <v>6900</v>
      </c>
      <c r="I111" s="1"/>
      <c r="J111" s="5">
        <f t="shared" ref="J111:J115" si="64">IF(H$12=0,0,H111/H$12)</f>
        <v>2.2182334027758273E-2</v>
      </c>
      <c r="K111" s="1"/>
      <c r="L111" s="1">
        <f t="shared" ref="L111:L115" si="65">+D111-H111</f>
        <v>0</v>
      </c>
      <c r="M111" s="1"/>
      <c r="N111" s="5">
        <f t="shared" ref="N111:N115" si="66">IF(H111=0,0,L111/H111)</f>
        <v>0</v>
      </c>
      <c r="O111" s="14"/>
      <c r="P111" s="1">
        <f>SUM(OSRRefP22_10x_0)</f>
        <v>13800</v>
      </c>
      <c r="Q111" s="1"/>
      <c r="R111" s="5">
        <f t="shared" ref="R111:R115" si="67">IF(P$12=0,0,P111/P$12)</f>
        <v>2.3528729772538563E-2</v>
      </c>
      <c r="S111" s="1"/>
      <c r="T111" s="1">
        <f>SUM(OSRRefT22_10x_0)</f>
        <v>13800</v>
      </c>
      <c r="U111" s="1"/>
      <c r="V111" s="5">
        <f t="shared" ref="V111:V115" si="68">IF(T$12=0,0,T111/T$12)</f>
        <v>2.8404462085765171E-2</v>
      </c>
      <c r="W111" s="1"/>
      <c r="X111" s="1">
        <f t="shared" ref="X111:X115" si="69">+P111-T111</f>
        <v>0</v>
      </c>
      <c r="Y111" s="1"/>
      <c r="Z111" s="5">
        <f t="shared" ref="Z111:Z115" si="70">IF(T111=0,0,X111/T111)</f>
        <v>0</v>
      </c>
    </row>
    <row r="112" spans="1:26" s="24" customFormat="1" hidden="1" outlineLevel="2" x14ac:dyDescent="0.3">
      <c r="A112" s="27"/>
      <c r="B112" s="11" t="str">
        <f>CONCATENATE("          ", "6273", " - ", "RENT")</f>
        <v xml:space="preserve">          6273 - RENT</v>
      </c>
      <c r="C112" s="11"/>
      <c r="D112" s="7">
        <v>6900</v>
      </c>
      <c r="E112" s="2"/>
      <c r="F112" s="8">
        <f t="shared" si="63"/>
        <v>1.6021718949328179E-2</v>
      </c>
      <c r="G112" s="2"/>
      <c r="H112" s="7">
        <v>6900</v>
      </c>
      <c r="I112" s="2"/>
      <c r="J112" s="8">
        <f t="shared" si="64"/>
        <v>2.2182334027758273E-2</v>
      </c>
      <c r="K112" s="2"/>
      <c r="L112" s="7">
        <f t="shared" si="65"/>
        <v>0</v>
      </c>
      <c r="M112" s="2"/>
      <c r="N112" s="8">
        <f t="shared" si="66"/>
        <v>0</v>
      </c>
      <c r="O112" s="11"/>
      <c r="P112" s="7">
        <v>13800</v>
      </c>
      <c r="Q112" s="2"/>
      <c r="R112" s="8">
        <f t="shared" si="67"/>
        <v>2.3528729772538563E-2</v>
      </c>
      <c r="S112" s="2"/>
      <c r="T112" s="7">
        <v>13800</v>
      </c>
      <c r="U112" s="2"/>
      <c r="V112" s="8">
        <f t="shared" si="68"/>
        <v>2.8404462085765171E-2</v>
      </c>
      <c r="W112" s="2"/>
      <c r="X112" s="7">
        <f t="shared" si="69"/>
        <v>0</v>
      </c>
      <c r="Y112" s="2"/>
      <c r="Z112" s="8">
        <f t="shared" si="70"/>
        <v>0</v>
      </c>
    </row>
    <row r="113" spans="1:26" s="28" customFormat="1" outlineLevel="1" collapsed="1" x14ac:dyDescent="0.3">
      <c r="A113" s="29"/>
      <c r="B113" s="14" t="str">
        <f>CONCATENATE("     ","Repair and Maintenance                            ")</f>
        <v xml:space="preserve">     Repair and Maintenance                            </v>
      </c>
      <c r="C113" s="14"/>
      <c r="D113" s="1">
        <f>SUM(OSRRefD22_11x_0)</f>
        <v>782.06000000000006</v>
      </c>
      <c r="E113" s="1"/>
      <c r="F113" s="5">
        <f t="shared" si="63"/>
        <v>1.8159341335524052E-3</v>
      </c>
      <c r="G113" s="1"/>
      <c r="H113" s="1">
        <f>SUM(OSRRefH22_11x_0)</f>
        <v>0</v>
      </c>
      <c r="I113" s="1"/>
      <c r="J113" s="5">
        <f t="shared" si="64"/>
        <v>0</v>
      </c>
      <c r="K113" s="1"/>
      <c r="L113" s="1">
        <f t="shared" si="65"/>
        <v>782.06000000000006</v>
      </c>
      <c r="M113" s="1"/>
      <c r="N113" s="5">
        <f t="shared" si="66"/>
        <v>0</v>
      </c>
      <c r="O113" s="14"/>
      <c r="P113" s="1">
        <f>SUM(OSRRefP22_11x_0)</f>
        <v>782.06000000000006</v>
      </c>
      <c r="Q113" s="1"/>
      <c r="R113" s="5">
        <f t="shared" si="67"/>
        <v>1.3333969859356167E-3</v>
      </c>
      <c r="S113" s="1"/>
      <c r="T113" s="1">
        <f>SUM(OSRRefT22_11x_0)</f>
        <v>0</v>
      </c>
      <c r="U113" s="1"/>
      <c r="V113" s="5">
        <f t="shared" si="68"/>
        <v>0</v>
      </c>
      <c r="W113" s="1"/>
      <c r="X113" s="1">
        <f t="shared" si="69"/>
        <v>782.06000000000006</v>
      </c>
      <c r="Y113" s="1"/>
      <c r="Z113" s="5">
        <f t="shared" si="70"/>
        <v>0</v>
      </c>
    </row>
    <row r="114" spans="1:26" s="24" customFormat="1" hidden="1" outlineLevel="2" x14ac:dyDescent="0.3">
      <c r="A114" s="27"/>
      <c r="B114" s="11" t="str">
        <f>CONCATENATE("          ", "6373", " - ", "MAINTENANCE CONTRACTS")</f>
        <v xml:space="preserve">          6373 - MAINTENANCE CONTRACTS</v>
      </c>
      <c r="C114" s="11"/>
      <c r="D114" s="7">
        <v>5.7</v>
      </c>
      <c r="E114" s="2"/>
      <c r="F114" s="8">
        <f t="shared" si="63"/>
        <v>1.3235333045097192E-5</v>
      </c>
      <c r="G114" s="2"/>
      <c r="H114" s="7"/>
      <c r="I114" s="2"/>
      <c r="J114" s="8">
        <f t="shared" si="64"/>
        <v>0</v>
      </c>
      <c r="K114" s="2"/>
      <c r="L114" s="7">
        <f t="shared" si="65"/>
        <v>5.7</v>
      </c>
      <c r="M114" s="2"/>
      <c r="N114" s="8">
        <f t="shared" si="66"/>
        <v>0</v>
      </c>
      <c r="O114" s="11"/>
      <c r="P114" s="7">
        <v>5.7</v>
      </c>
      <c r="Q114" s="2"/>
      <c r="R114" s="8">
        <f t="shared" si="67"/>
        <v>9.7183883843094061E-6</v>
      </c>
      <c r="S114" s="2"/>
      <c r="T114" s="7"/>
      <c r="U114" s="2"/>
      <c r="V114" s="8">
        <f t="shared" si="68"/>
        <v>0</v>
      </c>
      <c r="W114" s="2"/>
      <c r="X114" s="7">
        <f t="shared" si="69"/>
        <v>5.7</v>
      </c>
      <c r="Y114" s="2"/>
      <c r="Z114" s="8">
        <f t="shared" si="70"/>
        <v>0</v>
      </c>
    </row>
    <row r="115" spans="1:26" s="24" customFormat="1" hidden="1" outlineLevel="2" x14ac:dyDescent="0.3">
      <c r="A115" s="27"/>
      <c r="B115" s="11" t="str">
        <f>CONCATENATE("          ", "6375", " - ", "OUTSIDE REPAIRS &amp; MAINTENANCE")</f>
        <v xml:space="preserve">          6375 - OUTSIDE REPAIRS &amp; MAINTENANCE</v>
      </c>
      <c r="C115" s="11"/>
      <c r="D115" s="7">
        <v>776.36</v>
      </c>
      <c r="E115" s="2"/>
      <c r="F115" s="8">
        <f t="shared" si="63"/>
        <v>1.8026988005073079E-3</v>
      </c>
      <c r="G115" s="2"/>
      <c r="H115" s="7"/>
      <c r="I115" s="2"/>
      <c r="J115" s="8">
        <f t="shared" si="64"/>
        <v>0</v>
      </c>
      <c r="K115" s="2"/>
      <c r="L115" s="7">
        <f t="shared" si="65"/>
        <v>776.36</v>
      </c>
      <c r="M115" s="2"/>
      <c r="N115" s="8">
        <f t="shared" si="66"/>
        <v>0</v>
      </c>
      <c r="O115" s="11"/>
      <c r="P115" s="7">
        <v>776.36</v>
      </c>
      <c r="Q115" s="2"/>
      <c r="R115" s="8">
        <f t="shared" si="67"/>
        <v>1.3236785975513071E-3</v>
      </c>
      <c r="S115" s="2"/>
      <c r="T115" s="7"/>
      <c r="U115" s="2"/>
      <c r="V115" s="8">
        <f t="shared" si="68"/>
        <v>0</v>
      </c>
      <c r="W115" s="2"/>
      <c r="X115" s="7">
        <f t="shared" si="69"/>
        <v>776.36</v>
      </c>
      <c r="Y115" s="2"/>
      <c r="Z115" s="8">
        <f t="shared" si="70"/>
        <v>0</v>
      </c>
    </row>
    <row r="116" spans="1:26" s="28" customFormat="1" outlineLevel="1" collapsed="1" x14ac:dyDescent="0.3">
      <c r="A116" s="29"/>
      <c r="B116" s="14" t="str">
        <f>CONCATENATE("     ","Royalty &amp; Commissions                             ")</f>
        <v xml:space="preserve">     Royalty &amp; Commissions                             </v>
      </c>
      <c r="C116" s="14"/>
      <c r="D116" s="1">
        <f>SUM(OSRRefD22_12x_0)</f>
        <v>0</v>
      </c>
      <c r="E116" s="1"/>
      <c r="F116" s="5">
        <f t="shared" ref="F116:F118" si="71">IF(D$12=0,0,D116/D$12)</f>
        <v>0</v>
      </c>
      <c r="G116" s="1"/>
      <c r="H116" s="1">
        <f>SUM(OSRRefH22_12x_0)</f>
        <v>2250</v>
      </c>
      <c r="I116" s="1"/>
      <c r="J116" s="5">
        <f t="shared" ref="J116:J118" si="72">IF(H$12=0,0,H116/H$12)</f>
        <v>7.2333697916603058E-3</v>
      </c>
      <c r="K116" s="1"/>
      <c r="L116" s="1">
        <f t="shared" ref="L116:L118" si="73">+D116-H116</f>
        <v>-2250</v>
      </c>
      <c r="M116" s="1"/>
      <c r="N116" s="5">
        <f t="shared" ref="N116:N118" si="74">IF(H116=0,0,L116/H116)</f>
        <v>-1</v>
      </c>
      <c r="O116" s="14"/>
      <c r="P116" s="1">
        <f>SUM(OSRRefP22_12x_0)</f>
        <v>7349.0400000000009</v>
      </c>
      <c r="Q116" s="1"/>
      <c r="R116" s="5">
        <f t="shared" ref="R116:R118" si="75">IF(P$12=0,0,P116/P$12)</f>
        <v>1.2529969293302667E-2</v>
      </c>
      <c r="S116" s="1"/>
      <c r="T116" s="1">
        <f>SUM(OSRRefT22_12x_0)</f>
        <v>7922.2</v>
      </c>
      <c r="U116" s="1"/>
      <c r="V116" s="5">
        <f t="shared" ref="V116:V118" si="76">IF(T$12=0,0,T116/T$12)</f>
        <v>1.630621953158325E-2</v>
      </c>
      <c r="W116" s="1"/>
      <c r="X116" s="1">
        <f t="shared" ref="X116:X118" si="77">+P116-T116</f>
        <v>-573.15999999999894</v>
      </c>
      <c r="Y116" s="1"/>
      <c r="Z116" s="5">
        <f t="shared" ref="Z116:Z118" si="78">IF(T116=0,0,X116/T116)</f>
        <v>-7.2348590038120594E-2</v>
      </c>
    </row>
    <row r="117" spans="1:26" s="24" customFormat="1" hidden="1" outlineLevel="2" x14ac:dyDescent="0.3">
      <c r="A117" s="27"/>
      <c r="B117" s="11" t="str">
        <f>CONCATENATE("          ", "6253", " - ", "ROYALTY DUE ATHLETICS-LRG")</f>
        <v xml:space="preserve">          6253 - ROYALTY DUE ATHLETICS-LRG</v>
      </c>
      <c r="C117" s="11"/>
      <c r="D117" s="7"/>
      <c r="E117" s="2"/>
      <c r="F117" s="8">
        <f t="shared" si="71"/>
        <v>0</v>
      </c>
      <c r="G117" s="2"/>
      <c r="H117" s="7">
        <v>2250</v>
      </c>
      <c r="I117" s="2"/>
      <c r="J117" s="8">
        <f t="shared" si="72"/>
        <v>7.2333697916603058E-3</v>
      </c>
      <c r="K117" s="2"/>
      <c r="L117" s="7">
        <f t="shared" si="73"/>
        <v>-2250</v>
      </c>
      <c r="M117" s="2"/>
      <c r="N117" s="8">
        <f t="shared" si="74"/>
        <v>-1</v>
      </c>
      <c r="O117" s="11"/>
      <c r="P117" s="7">
        <v>14376.54</v>
      </c>
      <c r="Q117" s="2"/>
      <c r="R117" s="8">
        <f t="shared" si="75"/>
        <v>2.4511719182905185E-2</v>
      </c>
      <c r="S117" s="2"/>
      <c r="T117" s="7">
        <v>7922.2</v>
      </c>
      <c r="U117" s="2"/>
      <c r="V117" s="8">
        <f t="shared" si="76"/>
        <v>1.630621953158325E-2</v>
      </c>
      <c r="W117" s="2"/>
      <c r="X117" s="7">
        <f t="shared" si="77"/>
        <v>6454.3400000000011</v>
      </c>
      <c r="Y117" s="2"/>
      <c r="Z117" s="8">
        <f t="shared" si="78"/>
        <v>0.81471560930044695</v>
      </c>
    </row>
    <row r="118" spans="1:26" s="24" customFormat="1" hidden="1" outlineLevel="2" x14ac:dyDescent="0.3">
      <c r="A118" s="27"/>
      <c r="B118" s="11" t="str">
        <f>CONCATENATE("          ", "6254", " - ", "ROYALTY &amp; COMMISSIONS")</f>
        <v xml:space="preserve">          6254 - ROYALTY &amp; COMMISSIONS</v>
      </c>
      <c r="C118" s="11"/>
      <c r="D118" s="7"/>
      <c r="E118" s="2"/>
      <c r="F118" s="8">
        <f t="shared" si="71"/>
        <v>0</v>
      </c>
      <c r="G118" s="2"/>
      <c r="H118" s="7"/>
      <c r="I118" s="2"/>
      <c r="J118" s="8">
        <f t="shared" si="72"/>
        <v>0</v>
      </c>
      <c r="K118" s="2"/>
      <c r="L118" s="7">
        <f t="shared" si="73"/>
        <v>0</v>
      </c>
      <c r="M118" s="2"/>
      <c r="N118" s="8">
        <f t="shared" si="74"/>
        <v>0</v>
      </c>
      <c r="O118" s="11"/>
      <c r="P118" s="7">
        <v>-7027.5</v>
      </c>
      <c r="Q118" s="2"/>
      <c r="R118" s="8">
        <f t="shared" si="75"/>
        <v>-1.1981749889602518E-2</v>
      </c>
      <c r="S118" s="2"/>
      <c r="T118" s="7"/>
      <c r="U118" s="2"/>
      <c r="V118" s="8">
        <f t="shared" si="76"/>
        <v>0</v>
      </c>
      <c r="W118" s="2"/>
      <c r="X118" s="7">
        <f t="shared" si="77"/>
        <v>-7027.5</v>
      </c>
      <c r="Y118" s="2"/>
      <c r="Z118" s="8">
        <f t="shared" si="78"/>
        <v>0</v>
      </c>
    </row>
    <row r="119" spans="1:26" s="28" customFormat="1" outlineLevel="1" collapsed="1" x14ac:dyDescent="0.3">
      <c r="A119" s="29"/>
      <c r="B119" s="14" t="str">
        <f>CONCATENATE("     ","Services                                          ")</f>
        <v xml:space="preserve">     Services                                          </v>
      </c>
      <c r="C119" s="14"/>
      <c r="D119" s="1">
        <f>SUM(OSRRefD22_13x_0)</f>
        <v>162.72</v>
      </c>
      <c r="E119" s="1"/>
      <c r="F119" s="5">
        <f t="shared" ref="F119:F121" si="79">IF(D$12=0,0,D119/D$12)</f>
        <v>3.7783392861372189E-4</v>
      </c>
      <c r="G119" s="1"/>
      <c r="H119" s="1">
        <f>SUM(OSRRefH22_13x_0)</f>
        <v>81.84</v>
      </c>
      <c r="I119" s="1"/>
      <c r="J119" s="5">
        <f t="shared" ref="J119:J121" si="80">IF(H$12=0,0,H119/H$12)</f>
        <v>2.6310177055532421E-4</v>
      </c>
      <c r="K119" s="1"/>
      <c r="L119" s="1">
        <f t="shared" ref="L119:L121" si="81">+D119-H119</f>
        <v>80.88</v>
      </c>
      <c r="M119" s="1"/>
      <c r="N119" s="5">
        <f t="shared" ref="N119:N121" si="82">IF(H119=0,0,L119/H119)</f>
        <v>0.98826979472140752</v>
      </c>
      <c r="O119" s="14"/>
      <c r="P119" s="1">
        <f>SUM(OSRRefP22_13x_0)</f>
        <v>318.31</v>
      </c>
      <c r="Q119" s="1"/>
      <c r="R119" s="5">
        <f t="shared" ref="R119:R121" si="83">IF(P$12=0,0,P119/P$12)</f>
        <v>5.4271231694903981E-4</v>
      </c>
      <c r="S119" s="1"/>
      <c r="T119" s="1">
        <f>SUM(OSRRefT22_13x_0)</f>
        <v>-251.60000000000002</v>
      </c>
      <c r="U119" s="1"/>
      <c r="V119" s="5">
        <f t="shared" ref="V119:V121" si="84">IF(T$12=0,0,T119/T$12)</f>
        <v>-5.1786685947670418E-4</v>
      </c>
      <c r="W119" s="1"/>
      <c r="X119" s="1">
        <f t="shared" ref="X119:X121" si="85">+P119-T119</f>
        <v>569.91000000000008</v>
      </c>
      <c r="Y119" s="1"/>
      <c r="Z119" s="5">
        <f t="shared" ref="Z119:Z121" si="86">IF(T119=0,0,X119/T119)</f>
        <v>-2.2651430842607314</v>
      </c>
    </row>
    <row r="120" spans="1:26" s="24" customFormat="1" hidden="1" outlineLevel="2" x14ac:dyDescent="0.3">
      <c r="A120" s="27"/>
      <c r="B120" s="11" t="str">
        <f>CONCATENATE("          ", "6284", " - ", "TRASH REMOVAL EXPENSE")</f>
        <v xml:space="preserve">          6284 - TRASH REMOVAL EXPENSE</v>
      </c>
      <c r="C120" s="11"/>
      <c r="D120" s="7">
        <v>149.69999999999999</v>
      </c>
      <c r="E120" s="2"/>
      <c r="F120" s="8">
        <f t="shared" si="79"/>
        <v>3.4760164155281565E-4</v>
      </c>
      <c r="G120" s="2"/>
      <c r="H120" s="7">
        <v>142.57</v>
      </c>
      <c r="I120" s="2"/>
      <c r="J120" s="8">
        <f t="shared" si="80"/>
        <v>4.5833845830978214E-4</v>
      </c>
      <c r="K120" s="2"/>
      <c r="L120" s="7">
        <f t="shared" si="81"/>
        <v>7.1299999999999955</v>
      </c>
      <c r="M120" s="2"/>
      <c r="N120" s="8">
        <f t="shared" si="82"/>
        <v>5.0010521147506461E-2</v>
      </c>
      <c r="O120" s="11"/>
      <c r="P120" s="7">
        <v>292.27</v>
      </c>
      <c r="Q120" s="2"/>
      <c r="R120" s="8">
        <f t="shared" si="83"/>
        <v>4.9831462685651052E-4</v>
      </c>
      <c r="S120" s="2"/>
      <c r="T120" s="7">
        <v>285.14</v>
      </c>
      <c r="U120" s="2"/>
      <c r="V120" s="8">
        <f t="shared" si="84"/>
        <v>5.8690205211123778E-4</v>
      </c>
      <c r="W120" s="2"/>
      <c r="X120" s="7">
        <f t="shared" si="85"/>
        <v>7.1299999999999955</v>
      </c>
      <c r="Y120" s="2"/>
      <c r="Z120" s="8">
        <f t="shared" si="86"/>
        <v>2.500526057375323E-2</v>
      </c>
    </row>
    <row r="121" spans="1:26" s="24" customFormat="1" hidden="1" outlineLevel="2" x14ac:dyDescent="0.3">
      <c r="A121" s="27"/>
      <c r="B121" s="11" t="str">
        <f>CONCATENATE("          ", "6285", " - ", "JANITORIAL SERVICES")</f>
        <v xml:space="preserve">          6285 - JANITORIAL SERVICES</v>
      </c>
      <c r="C121" s="11"/>
      <c r="D121" s="7">
        <v>13.02</v>
      </c>
      <c r="E121" s="2"/>
      <c r="F121" s="8">
        <f t="shared" si="79"/>
        <v>3.0232287060906212E-5</v>
      </c>
      <c r="G121" s="2"/>
      <c r="H121" s="7">
        <v>-60.73</v>
      </c>
      <c r="I121" s="2"/>
      <c r="J121" s="8">
        <f t="shared" si="80"/>
        <v>-1.9523668775445793E-4</v>
      </c>
      <c r="K121" s="2"/>
      <c r="L121" s="7">
        <f t="shared" si="81"/>
        <v>73.75</v>
      </c>
      <c r="M121" s="2"/>
      <c r="N121" s="8">
        <f t="shared" si="82"/>
        <v>-1.2143915692409024</v>
      </c>
      <c r="O121" s="11"/>
      <c r="P121" s="7">
        <v>26.04</v>
      </c>
      <c r="Q121" s="2"/>
      <c r="R121" s="8">
        <f t="shared" si="83"/>
        <v>4.4397690092529286E-5</v>
      </c>
      <c r="S121" s="2"/>
      <c r="T121" s="7">
        <v>-536.74</v>
      </c>
      <c r="U121" s="2"/>
      <c r="V121" s="8">
        <f t="shared" si="84"/>
        <v>-1.104768911587942E-3</v>
      </c>
      <c r="W121" s="2"/>
      <c r="X121" s="7">
        <f t="shared" si="85"/>
        <v>562.78</v>
      </c>
      <c r="Y121" s="2"/>
      <c r="Z121" s="8">
        <f t="shared" si="86"/>
        <v>-1.0485151097365577</v>
      </c>
    </row>
    <row r="122" spans="1:26" s="28" customFormat="1" outlineLevel="1" collapsed="1" x14ac:dyDescent="0.3">
      <c r="A122" s="29"/>
      <c r="B122" s="14" t="str">
        <f>CONCATENATE("     ","Subscriptions &amp; Dues                              ")</f>
        <v xml:space="preserve">     Subscriptions &amp; Dues                              </v>
      </c>
      <c r="C122" s="14"/>
      <c r="D122" s="1">
        <f>SUM(OSRRefD22_14x_0)</f>
        <v>0</v>
      </c>
      <c r="E122" s="1"/>
      <c r="F122" s="5">
        <f t="shared" ref="F122:F128" si="87">IF(D$12=0,0,D122/D$12)</f>
        <v>0</v>
      </c>
      <c r="G122" s="1"/>
      <c r="H122" s="1">
        <f>SUM(OSRRefH22_14x_0)</f>
        <v>0</v>
      </c>
      <c r="I122" s="1"/>
      <c r="J122" s="5">
        <f t="shared" ref="J122:J128" si="88">IF(H$12=0,0,H122/H$12)</f>
        <v>0</v>
      </c>
      <c r="K122" s="1"/>
      <c r="L122" s="1">
        <f t="shared" ref="L122:L128" si="89">+D122-H122</f>
        <v>0</v>
      </c>
      <c r="M122" s="1"/>
      <c r="N122" s="5">
        <f t="shared" ref="N122:N128" si="90">IF(H122=0,0,L122/H122)</f>
        <v>0</v>
      </c>
      <c r="O122" s="14"/>
      <c r="P122" s="1">
        <f>SUM(OSRRefP22_14x_0)</f>
        <v>0</v>
      </c>
      <c r="Q122" s="1"/>
      <c r="R122" s="5">
        <f t="shared" ref="R122:R128" si="91">IF(P$12=0,0,P122/P$12)</f>
        <v>0</v>
      </c>
      <c r="S122" s="1"/>
      <c r="T122" s="1">
        <f>SUM(OSRRefT22_14x_0)</f>
        <v>75</v>
      </c>
      <c r="U122" s="1"/>
      <c r="V122" s="5">
        <f t="shared" ref="V122:V128" si="92">IF(T$12=0,0,T122/T$12)</f>
        <v>1.5437207655307159E-4</v>
      </c>
      <c r="W122" s="1"/>
      <c r="X122" s="1">
        <f t="shared" ref="X122:X128" si="93">+P122-T122</f>
        <v>-75</v>
      </c>
      <c r="Y122" s="1"/>
      <c r="Z122" s="5">
        <f t="shared" ref="Z122:Z128" si="94">IF(T122=0,0,X122/T122)</f>
        <v>-1</v>
      </c>
    </row>
    <row r="123" spans="1:26" s="24" customFormat="1" hidden="1" outlineLevel="2" x14ac:dyDescent="0.3">
      <c r="A123" s="27"/>
      <c r="B123" s="11" t="str">
        <f>CONCATENATE("          ", "6275", " - ", "SUBSCRIPTIONS")</f>
        <v xml:space="preserve">          6275 - SUBSCRIPTIONS</v>
      </c>
      <c r="C123" s="11"/>
      <c r="D123" s="7"/>
      <c r="E123" s="2"/>
      <c r="F123" s="8">
        <f t="shared" si="87"/>
        <v>0</v>
      </c>
      <c r="G123" s="2"/>
      <c r="H123" s="7"/>
      <c r="I123" s="2"/>
      <c r="J123" s="8">
        <f t="shared" si="88"/>
        <v>0</v>
      </c>
      <c r="K123" s="2"/>
      <c r="L123" s="7">
        <f t="shared" si="89"/>
        <v>0</v>
      </c>
      <c r="M123" s="2"/>
      <c r="N123" s="8">
        <f t="shared" si="90"/>
        <v>0</v>
      </c>
      <c r="O123" s="11"/>
      <c r="P123" s="7"/>
      <c r="Q123" s="2"/>
      <c r="R123" s="8">
        <f t="shared" si="91"/>
        <v>0</v>
      </c>
      <c r="S123" s="2"/>
      <c r="T123" s="7">
        <v>75</v>
      </c>
      <c r="U123" s="2"/>
      <c r="V123" s="8">
        <f t="shared" si="92"/>
        <v>1.5437207655307159E-4</v>
      </c>
      <c r="W123" s="2"/>
      <c r="X123" s="7">
        <f t="shared" si="93"/>
        <v>-75</v>
      </c>
      <c r="Y123" s="2"/>
      <c r="Z123" s="8">
        <f t="shared" si="94"/>
        <v>-1</v>
      </c>
    </row>
    <row r="124" spans="1:26" s="28" customFormat="1" outlineLevel="1" collapsed="1" x14ac:dyDescent="0.3">
      <c r="A124" s="29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SUM(OSRRefD22_15x_0)</f>
        <v>3146.37</v>
      </c>
      <c r="E124" s="1"/>
      <c r="F124" s="5">
        <f t="shared" si="87"/>
        <v>7.3058341812460431E-3</v>
      </c>
      <c r="G124" s="1"/>
      <c r="H124" s="1">
        <f>SUM(OSRRefH22_15x_0)</f>
        <v>63.11</v>
      </c>
      <c r="I124" s="1"/>
      <c r="J124" s="5">
        <f t="shared" si="88"/>
        <v>2.028879855785253E-4</v>
      </c>
      <c r="K124" s="1"/>
      <c r="L124" s="1">
        <f t="shared" si="89"/>
        <v>3083.2599999999998</v>
      </c>
      <c r="M124" s="1"/>
      <c r="N124" s="5">
        <f t="shared" si="90"/>
        <v>48.855331960069719</v>
      </c>
      <c r="O124" s="14"/>
      <c r="P124" s="1">
        <f>SUM(OSRRefP22_15x_0)</f>
        <v>5919.29</v>
      </c>
      <c r="Q124" s="1"/>
      <c r="R124" s="5">
        <f t="shared" si="91"/>
        <v>1.0092273540238391E-2</v>
      </c>
      <c r="S124" s="1"/>
      <c r="T124" s="1">
        <f>SUM(OSRRefT22_15x_0)</f>
        <v>1212.18</v>
      </c>
      <c r="U124" s="1"/>
      <c r="V124" s="5">
        <f t="shared" si="92"/>
        <v>2.4950232500813643E-3</v>
      </c>
      <c r="W124" s="1"/>
      <c r="X124" s="1">
        <f t="shared" si="93"/>
        <v>4707.1099999999997</v>
      </c>
      <c r="Y124" s="1"/>
      <c r="Z124" s="5">
        <f t="shared" si="94"/>
        <v>3.8831774158953287</v>
      </c>
    </row>
    <row r="125" spans="1:26" s="24" customFormat="1" hidden="1" outlineLevel="2" x14ac:dyDescent="0.3">
      <c r="A125" s="27"/>
      <c r="B125" s="11" t="str">
        <f>CONCATENATE("          ", "6235", " - ", "COVID-19 EXPENSES")</f>
        <v xml:space="preserve">          6235 - COVID-19 EXPENSES</v>
      </c>
      <c r="C125" s="11"/>
      <c r="D125" s="7"/>
      <c r="E125" s="2"/>
      <c r="F125" s="8">
        <f t="shared" si="87"/>
        <v>0</v>
      </c>
      <c r="G125" s="2"/>
      <c r="H125" s="7"/>
      <c r="I125" s="2"/>
      <c r="J125" s="8">
        <f t="shared" si="88"/>
        <v>0</v>
      </c>
      <c r="K125" s="2"/>
      <c r="L125" s="7">
        <f t="shared" si="89"/>
        <v>0</v>
      </c>
      <c r="M125" s="2"/>
      <c r="N125" s="8">
        <f t="shared" si="90"/>
        <v>0</v>
      </c>
      <c r="O125" s="11"/>
      <c r="P125" s="7"/>
      <c r="Q125" s="2"/>
      <c r="R125" s="8">
        <f t="shared" si="91"/>
        <v>0</v>
      </c>
      <c r="S125" s="2"/>
      <c r="T125" s="7">
        <v>961.38</v>
      </c>
      <c r="U125" s="2"/>
      <c r="V125" s="8">
        <f t="shared" si="92"/>
        <v>1.978803026087893E-3</v>
      </c>
      <c r="W125" s="2"/>
      <c r="X125" s="7">
        <f t="shared" si="93"/>
        <v>-961.38</v>
      </c>
      <c r="Y125" s="2"/>
      <c r="Z125" s="8">
        <f t="shared" si="94"/>
        <v>-1</v>
      </c>
    </row>
    <row r="126" spans="1:26" s="24" customFormat="1" hidden="1" outlineLevel="2" x14ac:dyDescent="0.3">
      <c r="A126" s="27"/>
      <c r="B126" s="11" t="str">
        <f>CONCATENATE("          ", "6237", " - ", "JANITORIAL SUPPLIES")</f>
        <v xml:space="preserve">          6237 - JANITORIAL SUPPLIES</v>
      </c>
      <c r="C126" s="11"/>
      <c r="D126" s="7">
        <v>77.17</v>
      </c>
      <c r="E126" s="2"/>
      <c r="F126" s="8">
        <f t="shared" si="87"/>
        <v>1.7918783352458776E-4</v>
      </c>
      <c r="G126" s="2"/>
      <c r="H126" s="7"/>
      <c r="I126" s="2"/>
      <c r="J126" s="8">
        <f t="shared" si="88"/>
        <v>0</v>
      </c>
      <c r="K126" s="2"/>
      <c r="L126" s="7">
        <f t="shared" si="89"/>
        <v>77.17</v>
      </c>
      <c r="M126" s="2"/>
      <c r="N126" s="8">
        <f t="shared" si="90"/>
        <v>0</v>
      </c>
      <c r="O126" s="11"/>
      <c r="P126" s="7">
        <v>77.17</v>
      </c>
      <c r="Q126" s="2"/>
      <c r="R126" s="8">
        <f t="shared" si="91"/>
        <v>1.3157333888020296E-4</v>
      </c>
      <c r="S126" s="2"/>
      <c r="T126" s="7">
        <v>139.31</v>
      </c>
      <c r="U126" s="2"/>
      <c r="V126" s="8">
        <f t="shared" si="92"/>
        <v>2.8674098646144536E-4</v>
      </c>
      <c r="W126" s="2"/>
      <c r="X126" s="7">
        <f t="shared" si="93"/>
        <v>-62.14</v>
      </c>
      <c r="Y126" s="2"/>
      <c r="Z126" s="8">
        <f t="shared" si="94"/>
        <v>-0.44605555954346421</v>
      </c>
    </row>
    <row r="127" spans="1:26" s="24" customFormat="1" hidden="1" outlineLevel="2" x14ac:dyDescent="0.3">
      <c r="A127" s="27"/>
      <c r="B127" s="11" t="str">
        <f>CONCATENATE("          ", "6241", " - ", "OFFICE EXPENSE")</f>
        <v xml:space="preserve">          6241 - OFFICE EXPENSE</v>
      </c>
      <c r="C127" s="11"/>
      <c r="D127" s="7">
        <v>94.57</v>
      </c>
      <c r="E127" s="2"/>
      <c r="F127" s="8">
        <f t="shared" si="87"/>
        <v>2.1959042913593705E-4</v>
      </c>
      <c r="G127" s="2"/>
      <c r="H127" s="7">
        <v>63.11</v>
      </c>
      <c r="I127" s="2"/>
      <c r="J127" s="8">
        <f t="shared" si="88"/>
        <v>2.028879855785253E-4</v>
      </c>
      <c r="K127" s="2"/>
      <c r="L127" s="7">
        <f t="shared" si="89"/>
        <v>31.459999999999994</v>
      </c>
      <c r="M127" s="2"/>
      <c r="N127" s="8">
        <f t="shared" si="90"/>
        <v>0.49849469180795425</v>
      </c>
      <c r="O127" s="11"/>
      <c r="P127" s="7">
        <v>226.05</v>
      </c>
      <c r="Q127" s="2"/>
      <c r="R127" s="8">
        <f t="shared" si="91"/>
        <v>3.8541082355669147E-4</v>
      </c>
      <c r="S127" s="2"/>
      <c r="T127" s="7">
        <v>111.49</v>
      </c>
      <c r="U127" s="2"/>
      <c r="V127" s="8">
        <f t="shared" si="92"/>
        <v>2.2947923753202599E-4</v>
      </c>
      <c r="W127" s="2"/>
      <c r="X127" s="7">
        <f t="shared" si="93"/>
        <v>114.56000000000002</v>
      </c>
      <c r="Y127" s="2"/>
      <c r="Z127" s="8">
        <f t="shared" si="94"/>
        <v>1.0275361018925466</v>
      </c>
    </row>
    <row r="128" spans="1:26" s="24" customFormat="1" hidden="1" outlineLevel="2" x14ac:dyDescent="0.3">
      <c r="A128" s="27"/>
      <c r="B128" s="11" t="str">
        <f>CONCATENATE("          ", "6247", " - ", "STORE SUPPLIES")</f>
        <v xml:space="preserve">          6247 - STORE SUPPLIES</v>
      </c>
      <c r="C128" s="11"/>
      <c r="D128" s="7">
        <v>2974.63</v>
      </c>
      <c r="E128" s="2"/>
      <c r="F128" s="8">
        <f t="shared" si="87"/>
        <v>6.9070559185855189E-3</v>
      </c>
      <c r="G128" s="2"/>
      <c r="H128" s="7"/>
      <c r="I128" s="2"/>
      <c r="J128" s="8">
        <f t="shared" si="88"/>
        <v>0</v>
      </c>
      <c r="K128" s="2"/>
      <c r="L128" s="7">
        <f t="shared" si="89"/>
        <v>2974.63</v>
      </c>
      <c r="M128" s="2"/>
      <c r="N128" s="8">
        <f t="shared" si="90"/>
        <v>0</v>
      </c>
      <c r="O128" s="11"/>
      <c r="P128" s="7">
        <v>5616.07</v>
      </c>
      <c r="Q128" s="2"/>
      <c r="R128" s="8">
        <f t="shared" si="91"/>
        <v>9.5752893778014957E-3</v>
      </c>
      <c r="S128" s="2"/>
      <c r="T128" s="7"/>
      <c r="U128" s="2"/>
      <c r="V128" s="8">
        <f t="shared" si="92"/>
        <v>0</v>
      </c>
      <c r="W128" s="2"/>
      <c r="X128" s="7">
        <f t="shared" si="93"/>
        <v>5616.07</v>
      </c>
      <c r="Y128" s="2"/>
      <c r="Z128" s="8">
        <f t="shared" si="94"/>
        <v>0</v>
      </c>
    </row>
    <row r="129" spans="1:26" s="28" customFormat="1" outlineLevel="1" collapsed="1" x14ac:dyDescent="0.3">
      <c r="A129" s="29"/>
      <c r="B129" s="14" t="str">
        <f>CONCATENATE("     ","Telephone/Data Lines                              ")</f>
        <v xml:space="preserve">     Telephone/Data Lines                              </v>
      </c>
      <c r="C129" s="14"/>
      <c r="D129" s="1">
        <f>SUM(OSRRefD22_16x_0)</f>
        <v>552.29</v>
      </c>
      <c r="E129" s="1"/>
      <c r="F129" s="5">
        <f t="shared" ref="F129:F134" si="95">IF(D$12=0,0,D129/D$12)</f>
        <v>1.2824108925397766E-3</v>
      </c>
      <c r="G129" s="1"/>
      <c r="H129" s="1">
        <f>SUM(OSRRefH22_16x_0)</f>
        <v>763.04</v>
      </c>
      <c r="I129" s="1"/>
      <c r="J129" s="5">
        <f t="shared" ref="J129:J134" si="96">IF(H$12=0,0,H129/H$12)</f>
        <v>2.4530446603682134E-3</v>
      </c>
      <c r="K129" s="1"/>
      <c r="L129" s="1">
        <f t="shared" ref="L129:L134" si="97">+D129-H129</f>
        <v>-210.75</v>
      </c>
      <c r="M129" s="1"/>
      <c r="N129" s="5">
        <f t="shared" ref="N129:N134" si="98">IF(H129=0,0,L129/H129)</f>
        <v>-0.27619784021807509</v>
      </c>
      <c r="O129" s="14"/>
      <c r="P129" s="1">
        <f>SUM(OSRRefP22_16x_0)</f>
        <v>819.18</v>
      </c>
      <c r="Q129" s="1"/>
      <c r="R129" s="5">
        <f t="shared" ref="R129:R134" si="99">IF(P$12=0,0,P129/P$12)</f>
        <v>1.3966858590629086E-3</v>
      </c>
      <c r="S129" s="1"/>
      <c r="T129" s="1">
        <f>SUM(OSRRefT22_16x_0)</f>
        <v>1555.58</v>
      </c>
      <c r="U129" s="1"/>
      <c r="V129" s="5">
        <f t="shared" ref="V129:V134" si="100">IF(T$12=0,0,T129/T$12)</f>
        <v>3.2018415312590276E-3</v>
      </c>
      <c r="W129" s="1"/>
      <c r="X129" s="1">
        <f t="shared" ref="X129:X134" si="101">+P129-T129</f>
        <v>-736.4</v>
      </c>
      <c r="Y129" s="1"/>
      <c r="Z129" s="5">
        <f t="shared" ref="Z129:Z134" si="102">IF(T129=0,0,X129/T129)</f>
        <v>-0.47339256097404186</v>
      </c>
    </row>
    <row r="130" spans="1:26" s="24" customFormat="1" hidden="1" outlineLevel="2" x14ac:dyDescent="0.3">
      <c r="A130" s="27"/>
      <c r="B130" s="11" t="str">
        <f>CONCATENATE("          ", "6309", " - ", "TELEPHONE")</f>
        <v xml:space="preserve">          6309 - TELEPHONE</v>
      </c>
      <c r="C130" s="11"/>
      <c r="D130" s="7">
        <v>552.29</v>
      </c>
      <c r="E130" s="2"/>
      <c r="F130" s="8">
        <f t="shared" si="95"/>
        <v>1.2824108925397766E-3</v>
      </c>
      <c r="G130" s="2"/>
      <c r="H130" s="7">
        <v>763.04</v>
      </c>
      <c r="I130" s="2"/>
      <c r="J130" s="8">
        <f t="shared" si="96"/>
        <v>2.4530446603682134E-3</v>
      </c>
      <c r="K130" s="2"/>
      <c r="L130" s="7">
        <f t="shared" si="97"/>
        <v>-210.75</v>
      </c>
      <c r="M130" s="2"/>
      <c r="N130" s="8">
        <f t="shared" si="98"/>
        <v>-0.27619784021807509</v>
      </c>
      <c r="O130" s="11"/>
      <c r="P130" s="7">
        <v>819.18</v>
      </c>
      <c r="Q130" s="2"/>
      <c r="R130" s="8">
        <f t="shared" si="99"/>
        <v>1.3966858590629086E-3</v>
      </c>
      <c r="S130" s="2"/>
      <c r="T130" s="7">
        <v>1555.58</v>
      </c>
      <c r="U130" s="2"/>
      <c r="V130" s="8">
        <f t="shared" si="100"/>
        <v>3.2018415312590276E-3</v>
      </c>
      <c r="W130" s="2"/>
      <c r="X130" s="7">
        <f t="shared" si="101"/>
        <v>-736.4</v>
      </c>
      <c r="Y130" s="2"/>
      <c r="Z130" s="8">
        <f t="shared" si="102"/>
        <v>-0.47339256097404186</v>
      </c>
    </row>
    <row r="131" spans="1:26" s="28" customFormat="1" outlineLevel="1" collapsed="1" x14ac:dyDescent="0.3">
      <c r="A131" s="29"/>
      <c r="B131" s="14" t="str">
        <f>CONCATENATE("     ","Travel                                            ")</f>
        <v xml:space="preserve">     Travel                                            </v>
      </c>
      <c r="C131" s="14"/>
      <c r="D131" s="1">
        <f>SUM(OSRRefD22_17x_0)</f>
        <v>0</v>
      </c>
      <c r="E131" s="1"/>
      <c r="F131" s="5">
        <f t="shared" si="95"/>
        <v>0</v>
      </c>
      <c r="G131" s="1"/>
      <c r="H131" s="1">
        <f>SUM(OSRRefH22_17x_0)</f>
        <v>25.76</v>
      </c>
      <c r="I131" s="1"/>
      <c r="J131" s="5">
        <f t="shared" si="96"/>
        <v>8.2814047036964218E-5</v>
      </c>
      <c r="K131" s="1"/>
      <c r="L131" s="1">
        <f t="shared" si="97"/>
        <v>-25.76</v>
      </c>
      <c r="M131" s="1"/>
      <c r="N131" s="5">
        <f t="shared" si="98"/>
        <v>-1</v>
      </c>
      <c r="O131" s="14"/>
      <c r="P131" s="1">
        <f>SUM(OSRRefP22_17x_0)</f>
        <v>188.14</v>
      </c>
      <c r="Q131" s="1"/>
      <c r="R131" s="5">
        <f t="shared" si="99"/>
        <v>3.2077501589894235E-4</v>
      </c>
      <c r="S131" s="1"/>
      <c r="T131" s="1">
        <f>SUM(OSRRefT22_17x_0)</f>
        <v>240.92</v>
      </c>
      <c r="U131" s="1"/>
      <c r="V131" s="5">
        <f t="shared" si="100"/>
        <v>4.9588427577554675E-4</v>
      </c>
      <c r="W131" s="1"/>
      <c r="X131" s="1">
        <f t="shared" si="101"/>
        <v>-52.78</v>
      </c>
      <c r="Y131" s="1"/>
      <c r="Z131" s="5">
        <f t="shared" si="102"/>
        <v>-0.21907687199070233</v>
      </c>
    </row>
    <row r="132" spans="1:26" s="24" customFormat="1" hidden="1" outlineLevel="2" x14ac:dyDescent="0.3">
      <c r="A132" s="27"/>
      <c r="B132" s="11" t="str">
        <f>CONCATENATE("          ", "6294", " - ", "TRAVEL OPERATIONAL")</f>
        <v xml:space="preserve">          6294 - TRAVEL OPERATIONAL</v>
      </c>
      <c r="C132" s="11"/>
      <c r="D132" s="7"/>
      <c r="E132" s="2"/>
      <c r="F132" s="8">
        <f t="shared" si="95"/>
        <v>0</v>
      </c>
      <c r="G132" s="2"/>
      <c r="H132" s="7">
        <v>25.76</v>
      </c>
      <c r="I132" s="2"/>
      <c r="J132" s="8">
        <f t="shared" si="96"/>
        <v>8.2814047036964218E-5</v>
      </c>
      <c r="K132" s="2"/>
      <c r="L132" s="7">
        <f t="shared" si="97"/>
        <v>-25.76</v>
      </c>
      <c r="M132" s="2"/>
      <c r="N132" s="8">
        <f t="shared" si="98"/>
        <v>-1</v>
      </c>
      <c r="O132" s="11"/>
      <c r="P132" s="7">
        <v>188.14</v>
      </c>
      <c r="Q132" s="2"/>
      <c r="R132" s="8">
        <f t="shared" si="99"/>
        <v>3.2077501589894235E-4</v>
      </c>
      <c r="S132" s="2"/>
      <c r="T132" s="7">
        <v>240.92</v>
      </c>
      <c r="U132" s="2"/>
      <c r="V132" s="8">
        <f t="shared" si="100"/>
        <v>4.9588427577554675E-4</v>
      </c>
      <c r="W132" s="2"/>
      <c r="X132" s="7">
        <f t="shared" si="101"/>
        <v>-52.78</v>
      </c>
      <c r="Y132" s="2"/>
      <c r="Z132" s="8">
        <f t="shared" si="102"/>
        <v>-0.21907687199070233</v>
      </c>
    </row>
    <row r="133" spans="1:26" s="28" customFormat="1" outlineLevel="1" collapsed="1" x14ac:dyDescent="0.3">
      <c r="A133" s="29"/>
      <c r="B133" s="14" t="str">
        <f>CONCATENATE("     ","Utilities                                         ")</f>
        <v xml:space="preserve">     Utilities                                         </v>
      </c>
      <c r="C133" s="14"/>
      <c r="D133" s="1">
        <f>SUM(OSRRefD22_18x_0)</f>
        <v>37.29</v>
      </c>
      <c r="E133" s="1"/>
      <c r="F133" s="5">
        <f t="shared" si="95"/>
        <v>8.6586941973977932E-5</v>
      </c>
      <c r="G133" s="1"/>
      <c r="H133" s="1">
        <f>SUM(OSRRefH22_18x_0)</f>
        <v>11.89</v>
      </c>
      <c r="I133" s="1"/>
      <c r="J133" s="5">
        <f t="shared" si="96"/>
        <v>3.8224340810151576E-5</v>
      </c>
      <c r="K133" s="1"/>
      <c r="L133" s="1">
        <f t="shared" si="97"/>
        <v>25.4</v>
      </c>
      <c r="M133" s="1"/>
      <c r="N133" s="5">
        <f t="shared" si="98"/>
        <v>2.1362489486963834</v>
      </c>
      <c r="O133" s="14"/>
      <c r="P133" s="1">
        <f>SUM(OSRRefP22_18x_0)</f>
        <v>73.78</v>
      </c>
      <c r="Q133" s="1"/>
      <c r="R133" s="5">
        <f t="shared" si="99"/>
        <v>1.2579345526216631E-4</v>
      </c>
      <c r="S133" s="1"/>
      <c r="T133" s="1">
        <f>SUM(OSRRefT22_18x_0)</f>
        <v>40.35</v>
      </c>
      <c r="U133" s="1"/>
      <c r="V133" s="5">
        <f t="shared" si="100"/>
        <v>8.3052177185552516E-5</v>
      </c>
      <c r="W133" s="1"/>
      <c r="X133" s="1">
        <f t="shared" si="101"/>
        <v>33.43</v>
      </c>
      <c r="Y133" s="1"/>
      <c r="Z133" s="5">
        <f t="shared" si="102"/>
        <v>0.82850061957868648</v>
      </c>
    </row>
    <row r="134" spans="1:26" s="24" customFormat="1" hidden="1" outlineLevel="2" x14ac:dyDescent="0.3">
      <c r="A134" s="27"/>
      <c r="B134" s="11" t="str">
        <f>CONCATENATE("          ", "6274", " - ", "UTILITIES")</f>
        <v xml:space="preserve">          6274 - UTILITIES</v>
      </c>
      <c r="C134" s="11"/>
      <c r="D134" s="7">
        <v>37.29</v>
      </c>
      <c r="E134" s="2"/>
      <c r="F134" s="8">
        <f t="shared" si="95"/>
        <v>8.6586941973977932E-5</v>
      </c>
      <c r="G134" s="2"/>
      <c r="H134" s="7">
        <v>11.89</v>
      </c>
      <c r="I134" s="2"/>
      <c r="J134" s="8">
        <f t="shared" si="96"/>
        <v>3.8224340810151576E-5</v>
      </c>
      <c r="K134" s="2"/>
      <c r="L134" s="7">
        <f t="shared" si="97"/>
        <v>25.4</v>
      </c>
      <c r="M134" s="2"/>
      <c r="N134" s="8">
        <f t="shared" si="98"/>
        <v>2.1362489486963834</v>
      </c>
      <c r="O134" s="11"/>
      <c r="P134" s="7">
        <v>73.78</v>
      </c>
      <c r="Q134" s="2"/>
      <c r="R134" s="8">
        <f t="shared" si="99"/>
        <v>1.2579345526216631E-4</v>
      </c>
      <c r="S134" s="2"/>
      <c r="T134" s="7">
        <v>40.35</v>
      </c>
      <c r="U134" s="2"/>
      <c r="V134" s="8">
        <f t="shared" si="100"/>
        <v>8.3052177185552516E-5</v>
      </c>
      <c r="W134" s="2"/>
      <c r="X134" s="7">
        <f t="shared" si="101"/>
        <v>33.43</v>
      </c>
      <c r="Y134" s="2"/>
      <c r="Z134" s="8">
        <f t="shared" si="102"/>
        <v>0.82850061957868648</v>
      </c>
    </row>
    <row r="135" spans="1:26" s="61" customFormat="1" x14ac:dyDescent="0.3">
      <c r="A135" s="37"/>
      <c r="B135" s="37"/>
      <c r="C135" s="37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7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3">
      <c r="A136" s="10"/>
      <c r="B136" s="26" t="s">
        <v>292</v>
      </c>
      <c r="C136" s="10"/>
      <c r="D136" s="4">
        <f>SUM(OSRRefD25x_0)</f>
        <v>56991</v>
      </c>
      <c r="E136" s="4"/>
      <c r="F136" s="12">
        <f t="shared" ref="F136:F138" si="103">IF(D$12=0,0,D136/D$12)</f>
        <v>0.13233243255669017</v>
      </c>
      <c r="G136" s="4"/>
      <c r="H136" s="4">
        <f>SUM(OSRRefH25x_0)</f>
        <v>0</v>
      </c>
      <c r="I136" s="4"/>
      <c r="J136" s="12">
        <f t="shared" ref="J136:J138" si="104">IF(H$12=0,0,H136/H$12)</f>
        <v>0</v>
      </c>
      <c r="K136" s="4"/>
      <c r="L136" s="4">
        <f t="shared" ref="L136:L138" si="105">+D136-H136</f>
        <v>56991</v>
      </c>
      <c r="M136" s="4"/>
      <c r="N136" s="12">
        <f t="shared" ref="N136:N138" si="106">IF(H136=0,0,L136/H136)</f>
        <v>0</v>
      </c>
      <c r="O136" s="10"/>
      <c r="P136" s="4">
        <f>SUM(OSRRefP25x_0)</f>
        <v>92073.02</v>
      </c>
      <c r="Q136" s="4"/>
      <c r="R136" s="12">
        <f t="shared" ref="R136:R138" si="107">IF(P$12=0,0,P136/P$12)</f>
        <v>0.15698269615373467</v>
      </c>
      <c r="S136" s="4"/>
      <c r="T136" s="4">
        <f>SUM(OSRRefT25x_0)</f>
        <v>172008.31</v>
      </c>
      <c r="U136" s="4"/>
      <c r="V136" s="12">
        <f t="shared" ref="V136:V138" si="108">IF(T$12=0,0,T136/T$12)</f>
        <v>0.35404373332112626</v>
      </c>
      <c r="W136" s="4"/>
      <c r="X136" s="4">
        <f t="shared" ref="X136:X138" si="109">+P136-T136</f>
        <v>-79935.289999999994</v>
      </c>
      <c r="Y136" s="4"/>
      <c r="Z136" s="12">
        <f t="shared" ref="Z136:Z138" si="110">IF(T136=0,0,X136/T136)</f>
        <v>-0.46471760579474325</v>
      </c>
    </row>
    <row r="137" spans="1:26" s="24" customFormat="1" hidden="1" outlineLevel="1" x14ac:dyDescent="0.3">
      <c r="A137" s="44"/>
      <c r="B137" s="11" t="str">
        <f>CONCATENATE("          ", "9150", " - ", "MISC. INCOME")</f>
        <v xml:space="preserve">          9150 - MISC. INCOME</v>
      </c>
      <c r="C137" s="11"/>
      <c r="D137" s="2">
        <f>0</f>
        <v>0</v>
      </c>
      <c r="E137" s="2"/>
      <c r="F137" s="19">
        <f t="shared" si="103"/>
        <v>0</v>
      </c>
      <c r="G137" s="2"/>
      <c r="H137" s="2">
        <f t="shared" ref="H137:H138" si="111">0</f>
        <v>0</v>
      </c>
      <c r="I137" s="2"/>
      <c r="J137" s="19">
        <f t="shared" si="104"/>
        <v>0</v>
      </c>
      <c r="K137" s="2"/>
      <c r="L137" s="2">
        <f t="shared" si="105"/>
        <v>0</v>
      </c>
      <c r="M137" s="2"/>
      <c r="N137" s="19">
        <f t="shared" si="106"/>
        <v>0</v>
      </c>
      <c r="O137" s="11"/>
      <c r="P137" s="2">
        <f>--28753.08</f>
        <v>28753.08</v>
      </c>
      <c r="Q137" s="2"/>
      <c r="R137" s="19">
        <f t="shared" si="107"/>
        <v>4.9023438365810371E-2</v>
      </c>
      <c r="S137" s="2"/>
      <c r="T137" s="2">
        <f>--11344.41</f>
        <v>11344.41</v>
      </c>
      <c r="U137" s="2"/>
      <c r="V137" s="19">
        <f t="shared" si="108"/>
        <v>2.3350135052925745E-2</v>
      </c>
      <c r="W137" s="2"/>
      <c r="X137" s="2">
        <f t="shared" si="109"/>
        <v>17408.670000000002</v>
      </c>
      <c r="Y137" s="2"/>
      <c r="Z137" s="19">
        <f t="shared" si="110"/>
        <v>1.5345593115904663</v>
      </c>
    </row>
    <row r="138" spans="1:26" s="24" customFormat="1" hidden="1" outlineLevel="1" x14ac:dyDescent="0.3">
      <c r="A138" s="44"/>
      <c r="B138" s="11" t="str">
        <f>CONCATENATE("          ", "9163", " - ", "MISC. INCOME")</f>
        <v xml:space="preserve">          9163 - MISC. INCOME</v>
      </c>
      <c r="C138" s="11"/>
      <c r="D138" s="2">
        <f>--56991</f>
        <v>56991</v>
      </c>
      <c r="E138" s="2"/>
      <c r="F138" s="19">
        <f t="shared" si="103"/>
        <v>0.13233243255669017</v>
      </c>
      <c r="G138" s="2"/>
      <c r="H138" s="2">
        <f t="shared" si="111"/>
        <v>0</v>
      </c>
      <c r="I138" s="2"/>
      <c r="J138" s="19">
        <f t="shared" si="104"/>
        <v>0</v>
      </c>
      <c r="K138" s="2"/>
      <c r="L138" s="2">
        <f t="shared" si="105"/>
        <v>56991</v>
      </c>
      <c r="M138" s="2"/>
      <c r="N138" s="19">
        <f t="shared" si="106"/>
        <v>0</v>
      </c>
      <c r="O138" s="11"/>
      <c r="P138" s="2">
        <f>--63319.94</f>
        <v>63319.94</v>
      </c>
      <c r="Q138" s="2"/>
      <c r="R138" s="19">
        <f t="shared" si="107"/>
        <v>0.10795925778792431</v>
      </c>
      <c r="S138" s="2"/>
      <c r="T138" s="2">
        <f>--160663.9</f>
        <v>160663.9</v>
      </c>
      <c r="U138" s="2"/>
      <c r="V138" s="19">
        <f t="shared" si="108"/>
        <v>0.33069359826820049</v>
      </c>
      <c r="W138" s="2"/>
      <c r="X138" s="2">
        <f t="shared" si="109"/>
        <v>-97343.959999999992</v>
      </c>
      <c r="Y138" s="2"/>
      <c r="Z138" s="19">
        <f t="shared" si="110"/>
        <v>-0.60588570301106837</v>
      </c>
    </row>
    <row r="139" spans="1:26" x14ac:dyDescent="0.3">
      <c r="A139" s="9"/>
      <c r="B139" s="10"/>
      <c r="C139" s="10"/>
      <c r="D139" s="3"/>
      <c r="E139" s="3"/>
      <c r="F139" s="6"/>
      <c r="G139" s="3"/>
      <c r="H139" s="3"/>
      <c r="I139" s="3"/>
      <c r="J139" s="6"/>
      <c r="K139" s="3"/>
      <c r="L139" s="3"/>
      <c r="M139" s="3"/>
      <c r="N139" s="6"/>
      <c r="O139" s="10"/>
      <c r="P139" s="3"/>
      <c r="Q139" s="3"/>
      <c r="R139" s="6"/>
      <c r="S139" s="3"/>
      <c r="T139" s="3"/>
      <c r="U139" s="3"/>
      <c r="V139" s="6"/>
      <c r="W139" s="3"/>
      <c r="X139" s="3"/>
      <c r="Y139" s="3"/>
      <c r="Z139" s="6"/>
    </row>
    <row r="140" spans="1:26" s="23" customFormat="1" x14ac:dyDescent="0.3">
      <c r="A140" s="10"/>
      <c r="B140" s="25" t="s">
        <v>276</v>
      </c>
      <c r="C140" s="25"/>
      <c r="D140" s="20">
        <f>+D74-D76+D136</f>
        <v>208636.18</v>
      </c>
      <c r="E140" s="13"/>
      <c r="F140" s="22">
        <f>IF(D$12=0,0,D140/D$12)</f>
        <v>0.48445075922049924</v>
      </c>
      <c r="G140" s="13"/>
      <c r="H140" s="20">
        <f>+H74-H76+H136</f>
        <v>52538.749999999927</v>
      </c>
      <c r="I140" s="13"/>
      <c r="J140" s="22">
        <f>IF(H$12=0,0,H140/H$12)</f>
        <v>0.16890320317404106</v>
      </c>
      <c r="K140" s="15"/>
      <c r="L140" s="20">
        <f>+D140-H140</f>
        <v>156097.43000000005</v>
      </c>
      <c r="M140" s="15"/>
      <c r="N140" s="22">
        <f>IF(H140=0,0,L140/H140)</f>
        <v>2.9710914325141018</v>
      </c>
      <c r="O140" s="26"/>
      <c r="P140" s="20">
        <f>+P74-P76+P136</f>
        <v>220657.31999999995</v>
      </c>
      <c r="Q140" s="13"/>
      <c r="R140" s="22">
        <f>IF(P$12=0,0,P140/P$12)</f>
        <v>0.37621640975453391</v>
      </c>
      <c r="S140" s="13"/>
      <c r="T140" s="20">
        <f>+T74-T76+T136</f>
        <v>226005.47999999992</v>
      </c>
      <c r="U140" s="13"/>
      <c r="V140" s="22">
        <f>IF(T$12=0,0,T140/T$12)</f>
        <v>0.46518580346631572</v>
      </c>
      <c r="W140" s="15"/>
      <c r="X140" s="20">
        <f>+P140-T140</f>
        <v>-5348.1599999999744</v>
      </c>
      <c r="Y140" s="15"/>
      <c r="Z140" s="22">
        <f>IF(T140=0,0,X140/T140)</f>
        <v>-2.3663850982728277E-2</v>
      </c>
    </row>
    <row r="141" spans="1:26" x14ac:dyDescent="0.3">
      <c r="A141" s="9"/>
      <c r="B141" s="10"/>
      <c r="C141" s="9"/>
      <c r="D141" s="3"/>
      <c r="E141" s="3"/>
      <c r="F141" s="6"/>
      <c r="G141" s="3"/>
      <c r="H141" s="3"/>
      <c r="I141" s="3"/>
      <c r="J141" s="6"/>
      <c r="K141" s="3"/>
      <c r="L141" s="3"/>
      <c r="M141" s="3"/>
      <c r="N141" s="6"/>
      <c r="P141" s="3"/>
      <c r="Q141" s="3"/>
      <c r="R141" s="6"/>
      <c r="S141" s="3"/>
      <c r="T141" s="3"/>
      <c r="U141" s="3"/>
      <c r="V141" s="6"/>
      <c r="W141" s="3"/>
      <c r="X141" s="3"/>
      <c r="Y141" s="3"/>
      <c r="Z141" s="6"/>
    </row>
    <row r="142" spans="1:26" s="23" customFormat="1" x14ac:dyDescent="0.3">
      <c r="A142" s="51"/>
      <c r="B142" s="10" t="s">
        <v>127</v>
      </c>
      <c r="C142" s="10"/>
      <c r="D142" s="4">
        <v>15642.22</v>
      </c>
      <c r="E142" s="4"/>
      <c r="F142" s="12">
        <f>IF(D$12=0,0,D142/D$12)</f>
        <v>3.6321051099066699E-2</v>
      </c>
      <c r="G142" s="4"/>
      <c r="H142" s="4">
        <v>-6819.83</v>
      </c>
      <c r="I142" s="4"/>
      <c r="J142" s="12">
        <f>IF(H$12=0,0,H142/H$12)</f>
        <v>-2.1924601025003869E-2</v>
      </c>
      <c r="K142" s="4"/>
      <c r="L142" s="4">
        <f>+D142-H142</f>
        <v>22462.05</v>
      </c>
      <c r="M142" s="4"/>
      <c r="N142" s="12">
        <f>IF(H142=0,0,L142/H142)</f>
        <v>-3.2936378179514736</v>
      </c>
      <c r="O142" s="10"/>
      <c r="P142" s="4">
        <v>87645.02</v>
      </c>
      <c r="Q142" s="4"/>
      <c r="R142" s="12">
        <f>IF(P$12=0,0,P142/P$12)</f>
        <v>0.14943304286150275</v>
      </c>
      <c r="S142" s="4"/>
      <c r="T142" s="4">
        <v>82027.490000000005</v>
      </c>
      <c r="U142" s="4"/>
      <c r="V142" s="12">
        <f>IF(T$12=0,0,T142/T$12)</f>
        <v>0.16883671954315085</v>
      </c>
      <c r="W142" s="4"/>
      <c r="X142" s="4">
        <f>+P142-T142</f>
        <v>5617.5299999999988</v>
      </c>
      <c r="Y142" s="4"/>
      <c r="Z142" s="12">
        <f>IF(T142=0,0,X142/T142)</f>
        <v>6.8483504737253315E-2</v>
      </c>
    </row>
    <row r="143" spans="1:26" x14ac:dyDescent="0.3">
      <c r="A143" s="9"/>
      <c r="B143" s="10"/>
      <c r="C143" s="10"/>
      <c r="D143" s="3"/>
      <c r="E143" s="3"/>
      <c r="F143" s="6"/>
      <c r="G143" s="3"/>
      <c r="H143" s="3"/>
      <c r="I143" s="3"/>
      <c r="J143" s="6"/>
      <c r="K143" s="3"/>
      <c r="L143" s="3"/>
      <c r="M143" s="3"/>
      <c r="N143" s="6"/>
      <c r="O143" s="10"/>
      <c r="P143" s="3"/>
      <c r="Q143" s="3"/>
      <c r="R143" s="6"/>
      <c r="S143" s="3"/>
      <c r="T143" s="3"/>
      <c r="U143" s="3"/>
      <c r="V143" s="6"/>
      <c r="W143" s="3"/>
      <c r="X143" s="3"/>
      <c r="Y143" s="3"/>
      <c r="Z143" s="6"/>
    </row>
    <row r="144" spans="1:26" s="23" customFormat="1" ht="15" thickBot="1" x14ac:dyDescent="0.35">
      <c r="A144" s="10"/>
      <c r="B144" s="25" t="s">
        <v>125</v>
      </c>
      <c r="C144" s="25"/>
      <c r="D144" s="33">
        <f>+D140-D142</f>
        <v>192993.96</v>
      </c>
      <c r="E144" s="13"/>
      <c r="F144" s="36">
        <f>IF(D$12=0,0,D144/D$12)</f>
        <v>0.44812970812143249</v>
      </c>
      <c r="G144" s="13"/>
      <c r="H144" s="33">
        <f>+H140-H142</f>
        <v>59358.579999999929</v>
      </c>
      <c r="I144" s="13"/>
      <c r="J144" s="36">
        <f>IF(H$12=0,0,H144/H$12)</f>
        <v>0.19082780419904494</v>
      </c>
      <c r="K144" s="15"/>
      <c r="L144" s="33">
        <f>D144-H144</f>
        <v>133635.38000000006</v>
      </c>
      <c r="M144" s="15"/>
      <c r="N144" s="36">
        <f>IF(H144=0,0,L144/H144)</f>
        <v>2.2513237344963479</v>
      </c>
      <c r="O144" s="26"/>
      <c r="P144" s="33">
        <f>+P140-P142</f>
        <v>133012.29999999993</v>
      </c>
      <c r="Q144" s="13"/>
      <c r="R144" s="36">
        <f>IF(P$12=0,0,P144/P$12)</f>
        <v>0.22678336689303111</v>
      </c>
      <c r="S144" s="13"/>
      <c r="T144" s="33">
        <f>+T140-T142</f>
        <v>143977.98999999993</v>
      </c>
      <c r="U144" s="13"/>
      <c r="V144" s="36">
        <f>IF(T$12=0,0,T144/T$12)</f>
        <v>0.29634908392316489</v>
      </c>
      <c r="W144" s="15"/>
      <c r="X144" s="33">
        <f>P144-T144</f>
        <v>-10965.690000000002</v>
      </c>
      <c r="Y144" s="15"/>
      <c r="Z144" s="36">
        <f>IF(T144=0,0,X144/T144)</f>
        <v>-7.6162266190825473E-2</v>
      </c>
    </row>
    <row r="145" spans="1:26" ht="15" thickTop="1" x14ac:dyDescent="0.3">
      <c r="A145" s="9"/>
      <c r="B145" s="9"/>
      <c r="C145" s="9"/>
      <c r="D145" s="3"/>
      <c r="E145" s="3"/>
      <c r="F145" s="6"/>
      <c r="G145" s="3"/>
      <c r="H145" s="3"/>
      <c r="I145" s="3"/>
      <c r="J145" s="6"/>
      <c r="K145" s="3"/>
      <c r="L145" s="3"/>
      <c r="M145" s="3"/>
      <c r="N145" s="6"/>
      <c r="P145" s="3"/>
      <c r="Q145" s="3"/>
      <c r="R145" s="6"/>
      <c r="S145" s="3"/>
      <c r="T145" s="3"/>
      <c r="U145" s="3"/>
      <c r="V145" s="6"/>
      <c r="W145" s="3"/>
      <c r="X145" s="3"/>
      <c r="Y145" s="3"/>
      <c r="Z145" s="6"/>
    </row>
    <row r="146" spans="1:26" x14ac:dyDescent="0.3">
      <c r="A146" s="9"/>
      <c r="B146" s="9"/>
      <c r="C146" s="9"/>
      <c r="D146" s="3"/>
      <c r="E146" s="3"/>
      <c r="F146" s="6"/>
      <c r="G146" s="3"/>
      <c r="H146" s="3"/>
      <c r="I146" s="3"/>
      <c r="J146" s="6"/>
      <c r="K146" s="3"/>
      <c r="L146" s="3"/>
      <c r="M146" s="3"/>
      <c r="N146" s="6"/>
      <c r="P146" s="3"/>
      <c r="Q146" s="3"/>
      <c r="R146" s="6"/>
      <c r="S146" s="3"/>
      <c r="T146" s="3"/>
      <c r="U146" s="3"/>
      <c r="V146" s="6"/>
      <c r="W146" s="3"/>
      <c r="X146" s="3"/>
      <c r="Y146" s="3"/>
      <c r="Z146" s="6"/>
    </row>
    <row r="147" spans="1:26" s="23" customFormat="1" ht="15" thickBot="1" x14ac:dyDescent="0.35">
      <c r="A147" s="10"/>
      <c r="B147" s="25" t="s">
        <v>293</v>
      </c>
      <c r="C147" s="25"/>
      <c r="D147" s="30">
        <f>SUM(D144:D146)</f>
        <v>192993.96</v>
      </c>
      <c r="E147" s="13"/>
      <c r="F147" s="31">
        <f>IF(D$12=0,0,D147/D$12)</f>
        <v>0.44812970812143249</v>
      </c>
      <c r="G147" s="13"/>
      <c r="H147" s="30">
        <f>SUM(H144:H146)</f>
        <v>59358.579999999929</v>
      </c>
      <c r="I147" s="13"/>
      <c r="J147" s="31">
        <f>IF(H$12=0,0,H147/H$12)</f>
        <v>0.19082780419904494</v>
      </c>
      <c r="K147" s="15"/>
      <c r="L147" s="30">
        <f>+D147-H147</f>
        <v>133635.38000000006</v>
      </c>
      <c r="M147" s="15"/>
      <c r="N147" s="31">
        <f>IF(H147=0,0,L147/H147)</f>
        <v>2.2513237344963479</v>
      </c>
      <c r="O147" s="26"/>
      <c r="P147" s="30">
        <f>SUM(P144:P146)</f>
        <v>133012.29999999993</v>
      </c>
      <c r="Q147" s="13"/>
      <c r="R147" s="31">
        <f>IF(P$12=0,0,P147/P$12)</f>
        <v>0.22678336689303111</v>
      </c>
      <c r="S147" s="13"/>
      <c r="T147" s="30">
        <f>SUM(T144:T146)</f>
        <v>143977.98999999993</v>
      </c>
      <c r="U147" s="13"/>
      <c r="V147" s="31">
        <f>IF(T$12=0,0,T147/T$12)</f>
        <v>0.29634908392316489</v>
      </c>
      <c r="W147" s="15"/>
      <c r="X147" s="30">
        <f>+P147-T147</f>
        <v>-10965.690000000002</v>
      </c>
      <c r="Y147" s="15"/>
      <c r="Z147" s="31">
        <f>IF(T147=0,0,X147/T147)</f>
        <v>-7.6162266190825473E-2</v>
      </c>
    </row>
    <row r="148" spans="1:26" ht="15" thickTop="1" x14ac:dyDescent="0.3">
      <c r="A148" s="9"/>
      <c r="C148" s="9"/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6" x14ac:dyDescent="0.3">
      <c r="A149" s="9"/>
      <c r="B149" s="59">
        <v>44470.840511076392</v>
      </c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3">
      <c r="A150" s="9"/>
      <c r="B150" s="58" t="s">
        <v>56</v>
      </c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3">
      <c r="A151" s="9"/>
      <c r="B151" s="52"/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3"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","315", " - ", "Bookstore Retail")</f>
        <v>Department 315 - Bookstore Retail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395630.21</v>
      </c>
      <c r="E12" s="4"/>
      <c r="F12" s="12"/>
      <c r="G12" s="4"/>
      <c r="H12" s="4">
        <f>SUM(OSRRefH13x_0)</f>
        <v>288261.01999999996</v>
      </c>
      <c r="I12" s="4"/>
      <c r="J12" s="12"/>
      <c r="K12" s="4"/>
      <c r="L12" s="4">
        <f t="shared" ref="L12:L51" si="0">+D12-H12</f>
        <v>107369.19000000006</v>
      </c>
      <c r="M12" s="4"/>
      <c r="N12" s="12">
        <f t="shared" ref="N12:N51" si="1">IF(H12=0,0,L12/H12)</f>
        <v>0.37247210878529491</v>
      </c>
      <c r="O12" s="10"/>
      <c r="P12" s="4">
        <f>SUM(OSRRefP13x_0)</f>
        <v>519670.93999999994</v>
      </c>
      <c r="Q12" s="4"/>
      <c r="R12" s="12"/>
      <c r="S12" s="4"/>
      <c r="T12" s="4">
        <f>SUM(OSRRefT13x_0)</f>
        <v>436162.07000000007</v>
      </c>
      <c r="U12" s="4"/>
      <c r="V12" s="12"/>
      <c r="W12" s="4"/>
      <c r="X12" s="4">
        <f t="shared" ref="X12:X51" si="2">+P12-T12</f>
        <v>83508.869999999879</v>
      </c>
      <c r="Y12" s="4"/>
      <c r="Z12" s="12">
        <f t="shared" ref="Z12:Z51" si="3">IF(T12=0,0,X12/T12)</f>
        <v>0.19146293486730717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--377298.06</f>
        <v>377298.06</v>
      </c>
      <c r="E13" s="2"/>
      <c r="F13" s="19"/>
      <c r="G13" s="2"/>
      <c r="H13" s="2">
        <f>-12599.7</f>
        <v>-12599.7</v>
      </c>
      <c r="I13" s="2"/>
      <c r="J13" s="19"/>
      <c r="K13" s="2"/>
      <c r="L13" s="2">
        <f t="shared" si="0"/>
        <v>389897.76</v>
      </c>
      <c r="M13" s="2"/>
      <c r="N13" s="19">
        <f t="shared" si="1"/>
        <v>-30.945003452463151</v>
      </c>
      <c r="O13" s="11"/>
      <c r="P13" s="2">
        <f>--495475.65</f>
        <v>495475.65</v>
      </c>
      <c r="Q13" s="2"/>
      <c r="R13" s="19"/>
      <c r="S13" s="2"/>
      <c r="T13" s="2">
        <f>-22202.76</f>
        <v>-22202.76</v>
      </c>
      <c r="U13" s="2"/>
      <c r="V13" s="19"/>
      <c r="W13" s="2"/>
      <c r="X13" s="2">
        <f t="shared" si="2"/>
        <v>517678.41000000003</v>
      </c>
      <c r="Y13" s="2"/>
      <c r="Z13" s="19">
        <f t="shared" si="3"/>
        <v>-23.315948557746879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--16850.03</f>
        <v>16850.03</v>
      </c>
      <c r="I15" s="2"/>
      <c r="J15" s="19"/>
      <c r="K15" s="2"/>
      <c r="L15" s="2">
        <f t="shared" si="0"/>
        <v>-16850.03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--18503.2</f>
        <v>18503.2</v>
      </c>
      <c r="U15" s="2"/>
      <c r="V15" s="19"/>
      <c r="W15" s="2"/>
      <c r="X15" s="2">
        <f t="shared" si="2"/>
        <v>-18503.2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--19.85</f>
        <v>19.850000000000001</v>
      </c>
      <c r="U16" s="2"/>
      <c r="V16" s="19"/>
      <c r="W16" s="2"/>
      <c r="X16" s="2">
        <f t="shared" si="2"/>
        <v>-19.850000000000001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--407.47</f>
        <v>407.47</v>
      </c>
      <c r="I17" s="2"/>
      <c r="J17" s="19"/>
      <c r="K17" s="2"/>
      <c r="L17" s="2">
        <f t="shared" si="0"/>
        <v>-407.47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--427.22</f>
        <v>427.22</v>
      </c>
      <c r="U17" s="2"/>
      <c r="V17" s="19"/>
      <c r="W17" s="2"/>
      <c r="X17" s="2">
        <f t="shared" si="2"/>
        <v>-427.22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--158111.68</f>
        <v>158111.67999999999</v>
      </c>
      <c r="I19" s="2"/>
      <c r="J19" s="19"/>
      <c r="K19" s="2"/>
      <c r="L19" s="2">
        <f t="shared" si="0"/>
        <v>-158111.67999999999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--208492.28</f>
        <v>208492.28</v>
      </c>
      <c r="U19" s="2"/>
      <c r="V19" s="19"/>
      <c r="W19" s="2"/>
      <c r="X19" s="2">
        <f t="shared" si="2"/>
        <v>-208492.28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--36926.32</f>
        <v>36926.32</v>
      </c>
      <c r="I20" s="2"/>
      <c r="J20" s="19"/>
      <c r="K20" s="2"/>
      <c r="L20" s="2">
        <f t="shared" si="0"/>
        <v>-36926.32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--52844.16</f>
        <v>52844.160000000003</v>
      </c>
      <c r="U20" s="2"/>
      <c r="V20" s="19"/>
      <c r="W20" s="2"/>
      <c r="X20" s="2">
        <f t="shared" si="2"/>
        <v>-52844.160000000003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--23965.29</f>
        <v>23965.29</v>
      </c>
      <c r="I21" s="2"/>
      <c r="J21" s="19"/>
      <c r="K21" s="2"/>
      <c r="L21" s="2">
        <f t="shared" si="0"/>
        <v>-23965.29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--28119.34</f>
        <v>28119.34</v>
      </c>
      <c r="U21" s="2"/>
      <c r="V21" s="19"/>
      <c r="W21" s="2"/>
      <c r="X21" s="2">
        <f t="shared" si="2"/>
        <v>-28119.34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--6413.63</f>
        <v>6413.63</v>
      </c>
      <c r="I22" s="2"/>
      <c r="J22" s="19"/>
      <c r="K22" s="2"/>
      <c r="L22" s="2">
        <f t="shared" si="0"/>
        <v>-6413.63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--6601</f>
        <v>6601</v>
      </c>
      <c r="U22" s="2"/>
      <c r="V22" s="19"/>
      <c r="W22" s="2"/>
      <c r="X22" s="2">
        <f t="shared" si="2"/>
        <v>-6601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--6373.92</f>
        <v>6373.92</v>
      </c>
      <c r="I23" s="2"/>
      <c r="J23" s="19"/>
      <c r="K23" s="2"/>
      <c r="L23" s="2">
        <f t="shared" si="0"/>
        <v>-6373.92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--7877.12</f>
        <v>7877.12</v>
      </c>
      <c r="U23" s="2"/>
      <c r="V23" s="19"/>
      <c r="W23" s="2"/>
      <c r="X23" s="2">
        <f t="shared" si="2"/>
        <v>-7877.12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--46004.35</f>
        <v>46004.35</v>
      </c>
      <c r="I24" s="2"/>
      <c r="J24" s="19"/>
      <c r="K24" s="2"/>
      <c r="L24" s="2">
        <f t="shared" si="0"/>
        <v>-46004.35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--89431.08</f>
        <v>89431.08</v>
      </c>
      <c r="U24" s="2"/>
      <c r="V24" s="19"/>
      <c r="W24" s="2"/>
      <c r="X24" s="2">
        <f t="shared" si="2"/>
        <v>-89431.08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--25658.79</f>
        <v>25658.79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25658.79</v>
      </c>
      <c r="M25" s="2"/>
      <c r="N25" s="19">
        <f t="shared" si="1"/>
        <v>0</v>
      </c>
      <c r="O25" s="11"/>
      <c r="P25" s="2">
        <f>--35273.58</f>
        <v>35273.58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35273.58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8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8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--1788.16</f>
        <v>1788.16</v>
      </c>
      <c r="I27" s="2"/>
      <c r="J27" s="19"/>
      <c r="K27" s="2"/>
      <c r="L27" s="2">
        <f t="shared" si="0"/>
        <v>-1788.16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--1860.41</f>
        <v>1860.41</v>
      </c>
      <c r="U27" s="2"/>
      <c r="V27" s="19"/>
      <c r="W27" s="2"/>
      <c r="X27" s="2">
        <f t="shared" si="2"/>
        <v>-1860.41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 t="shared" si="7"/>
        <v>0</v>
      </c>
      <c r="E28" s="2"/>
      <c r="F28" s="19"/>
      <c r="G28" s="2"/>
      <c r="H28" s="2">
        <f>--979.65</f>
        <v>979.65</v>
      </c>
      <c r="I28" s="2"/>
      <c r="J28" s="19"/>
      <c r="K28" s="2"/>
      <c r="L28" s="2">
        <f t="shared" si="0"/>
        <v>-979.65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--1237.58</f>
        <v>1237.58</v>
      </c>
      <c r="U28" s="2"/>
      <c r="V28" s="19"/>
      <c r="W28" s="2"/>
      <c r="X28" s="2">
        <f t="shared" si="2"/>
        <v>-1237.58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si="7"/>
        <v>0</v>
      </c>
      <c r="E29" s="2"/>
      <c r="F29" s="19"/>
      <c r="G29" s="2"/>
      <c r="H29" s="2">
        <f>0</f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8"/>
        <v>0</v>
      </c>
      <c r="Q29" s="2"/>
      <c r="R29" s="19"/>
      <c r="S29" s="2"/>
      <c r="T29" s="2">
        <f>--22.49</f>
        <v>22.49</v>
      </c>
      <c r="U29" s="2"/>
      <c r="V29" s="19"/>
      <c r="W29" s="2"/>
      <c r="X29" s="2">
        <f t="shared" si="2"/>
        <v>-22.49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7"/>
        <v>0</v>
      </c>
      <c r="E30" s="2"/>
      <c r="F30" s="19"/>
      <c r="G30" s="2"/>
      <c r="H30" s="2">
        <f>--12.43</f>
        <v>12.43</v>
      </c>
      <c r="I30" s="2"/>
      <c r="J30" s="19"/>
      <c r="K30" s="2"/>
      <c r="L30" s="2">
        <f t="shared" si="0"/>
        <v>-12.43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--80.71</f>
        <v>80.709999999999994</v>
      </c>
      <c r="U30" s="2"/>
      <c r="V30" s="19"/>
      <c r="W30" s="2"/>
      <c r="X30" s="2">
        <f t="shared" si="2"/>
        <v>-80.709999999999994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7"/>
        <v>0</v>
      </c>
      <c r="E31" s="2"/>
      <c r="F31" s="19"/>
      <c r="G31" s="2"/>
      <c r="H31" s="2">
        <f t="shared" ref="H31:H32" si="9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--45.53</f>
        <v>45.53</v>
      </c>
      <c r="U31" s="2"/>
      <c r="V31" s="19"/>
      <c r="W31" s="2"/>
      <c r="X31" s="2">
        <f t="shared" si="2"/>
        <v>-45.53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--59.25</f>
        <v>59.25</v>
      </c>
      <c r="U32" s="2"/>
      <c r="V32" s="19"/>
      <c r="W32" s="2"/>
      <c r="X32" s="2">
        <f t="shared" si="2"/>
        <v>-59.25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 t="shared" si="7"/>
        <v>0</v>
      </c>
      <c r="E33" s="2"/>
      <c r="F33" s="19"/>
      <c r="G33" s="2"/>
      <c r="H33" s="2">
        <f>--7251.52</f>
        <v>7251.52</v>
      </c>
      <c r="I33" s="2"/>
      <c r="J33" s="19"/>
      <c r="K33" s="2"/>
      <c r="L33" s="2">
        <f t="shared" si="0"/>
        <v>-7251.52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--14029.3</f>
        <v>14029.3</v>
      </c>
      <c r="U33" s="2"/>
      <c r="V33" s="19"/>
      <c r="W33" s="2"/>
      <c r="X33" s="2">
        <f t="shared" si="2"/>
        <v>-14029.3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"4141", " - ", "NON-TAXABLE SALES-LOGO GIFTS")</f>
        <v xml:space="preserve">          4141 - NON-TAXABLE SALES-LOGO GIFTS</v>
      </c>
      <c r="C34" s="11"/>
      <c r="D34" s="2">
        <f t="shared" si="7"/>
        <v>0</v>
      </c>
      <c r="E34" s="2"/>
      <c r="F34" s="19"/>
      <c r="G34" s="2"/>
      <c r="H34" s="2">
        <f>--742.31</f>
        <v>742.31</v>
      </c>
      <c r="I34" s="2"/>
      <c r="J34" s="19"/>
      <c r="K34" s="2"/>
      <c r="L34" s="2">
        <f t="shared" si="0"/>
        <v>-742.31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--1931.75</f>
        <v>1931.75</v>
      </c>
      <c r="U34" s="2"/>
      <c r="V34" s="19"/>
      <c r="W34" s="2"/>
      <c r="X34" s="2">
        <f t="shared" si="2"/>
        <v>-1931.75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 t="shared" si="7"/>
        <v>0</v>
      </c>
      <c r="E35" s="2"/>
      <c r="F35" s="19"/>
      <c r="G35" s="2"/>
      <c r="H35" s="2">
        <f>--333.42</f>
        <v>333.42</v>
      </c>
      <c r="I35" s="2"/>
      <c r="J35" s="19"/>
      <c r="K35" s="2"/>
      <c r="L35" s="2">
        <f t="shared" si="0"/>
        <v>-333.42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--973.59</f>
        <v>973.59</v>
      </c>
      <c r="U35" s="2"/>
      <c r="V35" s="19"/>
      <c r="W35" s="2"/>
      <c r="X35" s="2">
        <f t="shared" si="2"/>
        <v>-973.59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"4143", " - ", "NON-TAXABLE SALES-CARDS")</f>
        <v xml:space="preserve">          4143 - NON-TAXABLE SALES-CARDS</v>
      </c>
      <c r="C36" s="11"/>
      <c r="D36" s="2">
        <f t="shared" si="7"/>
        <v>0</v>
      </c>
      <c r="E36" s="2"/>
      <c r="F36" s="19"/>
      <c r="G36" s="2"/>
      <c r="H36" s="2">
        <f>--19.98</f>
        <v>19.98</v>
      </c>
      <c r="I36" s="2"/>
      <c r="J36" s="19"/>
      <c r="K36" s="2"/>
      <c r="L36" s="2">
        <f t="shared" si="0"/>
        <v>-19.98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--19.98</f>
        <v>19.98</v>
      </c>
      <c r="U36" s="2"/>
      <c r="V36" s="19"/>
      <c r="W36" s="2"/>
      <c r="X36" s="2">
        <f t="shared" si="2"/>
        <v>-19.98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 t="shared" si="7"/>
        <v>0</v>
      </c>
      <c r="E37" s="2"/>
      <c r="F37" s="19"/>
      <c r="G37" s="2"/>
      <c r="H37" s="2">
        <f>--107.95</f>
        <v>107.95</v>
      </c>
      <c r="I37" s="2"/>
      <c r="J37" s="19"/>
      <c r="K37" s="2"/>
      <c r="L37" s="2">
        <f t="shared" si="0"/>
        <v>-107.95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--155.8</f>
        <v>155.80000000000001</v>
      </c>
      <c r="U37" s="2"/>
      <c r="V37" s="19"/>
      <c r="W37" s="2"/>
      <c r="X37" s="2">
        <f t="shared" si="2"/>
        <v>-155.80000000000001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 t="shared" si="7"/>
        <v>0</v>
      </c>
      <c r="E38" s="2"/>
      <c r="F38" s="19"/>
      <c r="G38" s="2"/>
      <c r="H38" s="2">
        <f>--350</f>
        <v>350</v>
      </c>
      <c r="I38" s="2"/>
      <c r="J38" s="19"/>
      <c r="K38" s="2"/>
      <c r="L38" s="2">
        <f t="shared" si="0"/>
        <v>-350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--35839</f>
        <v>35839</v>
      </c>
      <c r="U38" s="2"/>
      <c r="V38" s="19"/>
      <c r="W38" s="2"/>
      <c r="X38" s="2">
        <f t="shared" si="2"/>
        <v>-35839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"4200", " - ", "TAXABLE RETURNS")</f>
        <v xml:space="preserve">          4200 - TAXABLE RETURNS</v>
      </c>
      <c r="C39" s="11"/>
      <c r="D39" s="2">
        <f>-7228.29</f>
        <v>-7228.29</v>
      </c>
      <c r="E39" s="2"/>
      <c r="F39" s="19"/>
      <c r="G39" s="2"/>
      <c r="H39" s="2">
        <f t="shared" ref="H39:H40" si="10">0</f>
        <v>0</v>
      </c>
      <c r="I39" s="2"/>
      <c r="J39" s="19"/>
      <c r="K39" s="2"/>
      <c r="L39" s="2">
        <f t="shared" si="0"/>
        <v>-7228.29</v>
      </c>
      <c r="M39" s="2"/>
      <c r="N39" s="19">
        <f t="shared" si="1"/>
        <v>0</v>
      </c>
      <c r="O39" s="11"/>
      <c r="P39" s="2">
        <f>-10860.09</f>
        <v>-10860.09</v>
      </c>
      <c r="Q39" s="2"/>
      <c r="R39" s="19"/>
      <c r="S39" s="2"/>
      <c r="T39" s="2">
        <f>0</f>
        <v>0</v>
      </c>
      <c r="U39" s="2"/>
      <c r="V39" s="19"/>
      <c r="W39" s="2"/>
      <c r="X39" s="2">
        <f t="shared" si="2"/>
        <v>-10860.09</v>
      </c>
      <c r="Y39" s="2"/>
      <c r="Z39" s="19">
        <f t="shared" si="3"/>
        <v>0</v>
      </c>
    </row>
    <row r="40" spans="1:26" s="24" customFormat="1" hidden="1" outlineLevel="1" x14ac:dyDescent="0.3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ref="D40:D47" si="11">0</f>
        <v>0</v>
      </c>
      <c r="E40" s="2"/>
      <c r="F40" s="19"/>
      <c r="G40" s="2"/>
      <c r="H40" s="2">
        <f t="shared" si="10"/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ref="P40:P47" si="12">0</f>
        <v>0</v>
      </c>
      <c r="Q40" s="2"/>
      <c r="R40" s="19"/>
      <c r="S40" s="2"/>
      <c r="T40" s="2">
        <f>-6.38</f>
        <v>-6.38</v>
      </c>
      <c r="U40" s="2"/>
      <c r="V40" s="19"/>
      <c r="W40" s="2"/>
      <c r="X40" s="2">
        <f t="shared" si="2"/>
        <v>6.38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 t="shared" si="11"/>
        <v>0</v>
      </c>
      <c r="E41" s="2"/>
      <c r="F41" s="19"/>
      <c r="G41" s="2"/>
      <c r="H41" s="2">
        <f>-219.22</f>
        <v>-219.22</v>
      </c>
      <c r="I41" s="2"/>
      <c r="J41" s="19"/>
      <c r="K41" s="2"/>
      <c r="L41" s="2">
        <f t="shared" si="0"/>
        <v>219.22</v>
      </c>
      <c r="M41" s="2"/>
      <c r="N41" s="19">
        <f t="shared" si="1"/>
        <v>-1</v>
      </c>
      <c r="O41" s="11"/>
      <c r="P41" s="2">
        <f t="shared" si="12"/>
        <v>0</v>
      </c>
      <c r="Q41" s="2"/>
      <c r="R41" s="19"/>
      <c r="S41" s="2"/>
      <c r="T41" s="2">
        <f>-245.99</f>
        <v>-245.99</v>
      </c>
      <c r="U41" s="2"/>
      <c r="V41" s="19"/>
      <c r="W41" s="2"/>
      <c r="X41" s="2">
        <f t="shared" si="2"/>
        <v>245.99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 t="shared" si="11"/>
        <v>0</v>
      </c>
      <c r="E42" s="2"/>
      <c r="F42" s="19"/>
      <c r="G42" s="2"/>
      <c r="H42" s="2">
        <f>-4088.27</f>
        <v>-4088.27</v>
      </c>
      <c r="I42" s="2"/>
      <c r="J42" s="19"/>
      <c r="K42" s="2"/>
      <c r="L42" s="2">
        <f t="shared" si="0"/>
        <v>4088.27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-6706.72</f>
        <v>-6706.72</v>
      </c>
      <c r="U42" s="2"/>
      <c r="V42" s="19"/>
      <c r="W42" s="2"/>
      <c r="X42" s="2">
        <f t="shared" si="2"/>
        <v>6706.72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 t="shared" si="11"/>
        <v>0</v>
      </c>
      <c r="E43" s="2"/>
      <c r="F43" s="19"/>
      <c r="G43" s="2"/>
      <c r="H43" s="2">
        <f>-435.91</f>
        <v>-435.91</v>
      </c>
      <c r="I43" s="2"/>
      <c r="J43" s="19"/>
      <c r="K43" s="2"/>
      <c r="L43" s="2">
        <f t="shared" si="0"/>
        <v>435.91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-744.04</f>
        <v>-744.04</v>
      </c>
      <c r="U43" s="2"/>
      <c r="V43" s="19"/>
      <c r="W43" s="2"/>
      <c r="X43" s="2">
        <f t="shared" si="2"/>
        <v>744.04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 t="shared" si="11"/>
        <v>0</v>
      </c>
      <c r="E44" s="2"/>
      <c r="F44" s="19"/>
      <c r="G44" s="2"/>
      <c r="H44" s="2">
        <f>-447.81</f>
        <v>-447.81</v>
      </c>
      <c r="I44" s="2"/>
      <c r="J44" s="19"/>
      <c r="K44" s="2"/>
      <c r="L44" s="2">
        <f t="shared" si="0"/>
        <v>447.81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-552.91</f>
        <v>-552.91</v>
      </c>
      <c r="U44" s="2"/>
      <c r="V44" s="19"/>
      <c r="W44" s="2"/>
      <c r="X44" s="2">
        <f t="shared" si="2"/>
        <v>552.91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 t="shared" si="11"/>
        <v>0</v>
      </c>
      <c r="E45" s="2"/>
      <c r="F45" s="19"/>
      <c r="G45" s="2"/>
      <c r="H45" s="2">
        <f>-93.43</f>
        <v>-93.43</v>
      </c>
      <c r="I45" s="2"/>
      <c r="J45" s="19"/>
      <c r="K45" s="2"/>
      <c r="L45" s="2">
        <f t="shared" si="0"/>
        <v>93.43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-93.43</f>
        <v>-93.43</v>
      </c>
      <c r="U45" s="2"/>
      <c r="V45" s="19"/>
      <c r="W45" s="2"/>
      <c r="X45" s="2">
        <f t="shared" si="2"/>
        <v>93.43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 t="shared" si="11"/>
        <v>0</v>
      </c>
      <c r="E46" s="2"/>
      <c r="F46" s="19"/>
      <c r="G46" s="2"/>
      <c r="H46" s="2">
        <f>-350.99</f>
        <v>-350.99</v>
      </c>
      <c r="I46" s="2"/>
      <c r="J46" s="19"/>
      <c r="K46" s="2"/>
      <c r="L46" s="2">
        <f t="shared" si="0"/>
        <v>350.99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-350.99</f>
        <v>-350.99</v>
      </c>
      <c r="U46" s="2"/>
      <c r="V46" s="19"/>
      <c r="W46" s="2"/>
      <c r="X46" s="2">
        <f t="shared" si="2"/>
        <v>350.99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 t="shared" si="11"/>
        <v>0</v>
      </c>
      <c r="E47" s="2"/>
      <c r="F47" s="19"/>
      <c r="G47" s="2"/>
      <c r="H47" s="2">
        <f>-57.96</f>
        <v>-57.96</v>
      </c>
      <c r="I47" s="2"/>
      <c r="J47" s="19"/>
      <c r="K47" s="2"/>
      <c r="L47" s="2">
        <f t="shared" si="0"/>
        <v>57.96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-1171.96</f>
        <v>-1171.96</v>
      </c>
      <c r="U47" s="2"/>
      <c r="V47" s="19"/>
      <c r="W47" s="2"/>
      <c r="X47" s="2">
        <f t="shared" si="2"/>
        <v>1171.96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"4300", " - ", "NON-TAX RETURNS")</f>
        <v xml:space="preserve">          4300 - NON-TAX RETURNS</v>
      </c>
      <c r="C48" s="11"/>
      <c r="D48" s="2">
        <f>-98.35</f>
        <v>-98.35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-98.35</v>
      </c>
      <c r="M48" s="2"/>
      <c r="N48" s="19">
        <f t="shared" si="1"/>
        <v>0</v>
      </c>
      <c r="O48" s="11"/>
      <c r="P48" s="2">
        <f>-218.2</f>
        <v>-218.2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-218.2</v>
      </c>
      <c r="Y48" s="2"/>
      <c r="Z48" s="19">
        <f t="shared" si="3"/>
        <v>0</v>
      </c>
    </row>
    <row r="49" spans="1:26" s="24" customFormat="1" hidden="1" outlineLevel="1" x14ac:dyDescent="0.3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 t="shared" ref="D49:D51" si="13">0</f>
        <v>0</v>
      </c>
      <c r="E49" s="2"/>
      <c r="F49" s="19"/>
      <c r="G49" s="2"/>
      <c r="H49" s="2">
        <f>-69.9</f>
        <v>-69.900000000000006</v>
      </c>
      <c r="I49" s="2"/>
      <c r="J49" s="19"/>
      <c r="K49" s="2"/>
      <c r="L49" s="2">
        <f t="shared" si="0"/>
        <v>69.900000000000006</v>
      </c>
      <c r="M49" s="2"/>
      <c r="N49" s="19">
        <f t="shared" si="1"/>
        <v>-1</v>
      </c>
      <c r="O49" s="11"/>
      <c r="P49" s="2">
        <f t="shared" ref="P49:P51" si="14">0</f>
        <v>0</v>
      </c>
      <c r="Q49" s="2"/>
      <c r="R49" s="19"/>
      <c r="S49" s="2"/>
      <c r="T49" s="2">
        <f>-504.14</f>
        <v>-504.14</v>
      </c>
      <c r="U49" s="2"/>
      <c r="V49" s="19"/>
      <c r="W49" s="2"/>
      <c r="X49" s="2">
        <f t="shared" si="2"/>
        <v>504.14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 t="shared" si="13"/>
        <v>0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4"/>
        <v>0</v>
      </c>
      <c r="Q50" s="2"/>
      <c r="R50" s="19"/>
      <c r="S50" s="2"/>
      <c r="T50" s="2">
        <f>-16.95</f>
        <v>-16.95</v>
      </c>
      <c r="U50" s="2"/>
      <c r="V50" s="19"/>
      <c r="W50" s="2"/>
      <c r="X50" s="2">
        <f t="shared" si="2"/>
        <v>16.95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 t="shared" si="13"/>
        <v>0</v>
      </c>
      <c r="E51" s="2"/>
      <c r="F51" s="19"/>
      <c r="G51" s="2"/>
      <c r="H51" s="2">
        <f>-13.9</f>
        <v>-13.9</v>
      </c>
      <c r="I51" s="2"/>
      <c r="J51" s="19"/>
      <c r="K51" s="2"/>
      <c r="L51" s="2">
        <f t="shared" si="0"/>
        <v>13.9</v>
      </c>
      <c r="M51" s="2"/>
      <c r="N51" s="19">
        <f t="shared" si="1"/>
        <v>-1</v>
      </c>
      <c r="O51" s="11"/>
      <c r="P51" s="2">
        <f t="shared" si="14"/>
        <v>0</v>
      </c>
      <c r="Q51" s="2"/>
      <c r="R51" s="19"/>
      <c r="S51" s="2"/>
      <c r="T51" s="2">
        <f>-93.75</f>
        <v>-93.75</v>
      </c>
      <c r="U51" s="2"/>
      <c r="V51" s="19"/>
      <c r="W51" s="2"/>
      <c r="X51" s="2">
        <f t="shared" si="2"/>
        <v>93.75</v>
      </c>
      <c r="Y51" s="2"/>
      <c r="Z51" s="19">
        <f t="shared" si="3"/>
        <v>-1</v>
      </c>
    </row>
    <row r="52" spans="1:26" x14ac:dyDescent="0.3">
      <c r="A52" s="9"/>
      <c r="B52" s="10"/>
      <c r="C52" s="9"/>
      <c r="D52" s="3"/>
      <c r="E52" s="3"/>
      <c r="F52" s="6"/>
      <c r="G52" s="3"/>
      <c r="H52" s="3"/>
      <c r="I52" s="3"/>
      <c r="J52" s="6"/>
      <c r="K52" s="3"/>
      <c r="L52" s="3"/>
      <c r="M52" s="3"/>
      <c r="N52" s="6"/>
      <c r="P52" s="3"/>
      <c r="Q52" s="3"/>
      <c r="R52" s="6"/>
      <c r="S52" s="3"/>
      <c r="T52" s="3"/>
      <c r="U52" s="3"/>
      <c r="V52" s="6"/>
      <c r="W52" s="3"/>
      <c r="X52" s="3"/>
      <c r="Y52" s="3"/>
      <c r="Z52" s="6"/>
    </row>
    <row r="53" spans="1:26" s="23" customFormat="1" collapsed="1" x14ac:dyDescent="0.3">
      <c r="A53" s="10"/>
      <c r="B53" s="26" t="s">
        <v>256</v>
      </c>
      <c r="C53" s="10"/>
      <c r="D53" s="4">
        <f>SUM(OSRRefD16x_0)</f>
        <v>163570.48000000004</v>
      </c>
      <c r="E53" s="4"/>
      <c r="F53" s="12">
        <f t="shared" ref="F53:F72" si="15">IF(D$12=0,0,D53/D$12)</f>
        <v>0.41344284603544312</v>
      </c>
      <c r="G53" s="4"/>
      <c r="H53" s="4">
        <f>SUM(OSRRefH16x_0)</f>
        <v>171786</v>
      </c>
      <c r="I53" s="4"/>
      <c r="J53" s="12">
        <f t="shared" ref="J53:J72" si="16">IF(H$12=0,0,H53/H$12)</f>
        <v>0.59593905551295145</v>
      </c>
      <c r="K53" s="4"/>
      <c r="L53" s="4">
        <f t="shared" ref="L53:L72" si="17">+D53-H53</f>
        <v>-8215.5199999999604</v>
      </c>
      <c r="M53" s="4"/>
      <c r="N53" s="12">
        <f t="shared" ref="N53:N72" si="18">IF(H53=0,0,L53/H53)</f>
        <v>-4.7824153307021298E-2</v>
      </c>
      <c r="O53" s="10"/>
      <c r="P53" s="4">
        <f>SUM(OSRRefP16x_0)</f>
        <v>230307.84</v>
      </c>
      <c r="Q53" s="4"/>
      <c r="R53" s="12">
        <f t="shared" ref="R53:R72" si="19">IF(P$12=0,0,P53/P$12)</f>
        <v>0.44318014010943158</v>
      </c>
      <c r="S53" s="4"/>
      <c r="T53" s="4">
        <f>SUM(OSRRefT16x_0)</f>
        <v>271955.94000000006</v>
      </c>
      <c r="U53" s="4"/>
      <c r="V53" s="12">
        <f t="shared" ref="V53:V72" si="20">IF(T$12=0,0,T53/T$12)</f>
        <v>0.62352038085292472</v>
      </c>
      <c r="W53" s="4"/>
      <c r="X53" s="4">
        <f t="shared" ref="X53:X72" si="21">+P53-T53</f>
        <v>-41648.100000000064</v>
      </c>
      <c r="Y53" s="4"/>
      <c r="Z53" s="12">
        <f t="shared" ref="Z53:Z72" si="22">IF(T53=0,0,X53/T53)</f>
        <v>-0.15314282159087997</v>
      </c>
    </row>
    <row r="54" spans="1:26" s="24" customFormat="1" hidden="1" outlineLevel="1" x14ac:dyDescent="0.3">
      <c r="A54" s="44"/>
      <c r="B54" s="11" t="str">
        <f>CONCATENATE("          ", "5000", " - ", "PURCHASES @ COST")</f>
        <v xml:space="preserve">          5000 - PURCHASES @ COST</v>
      </c>
      <c r="C54" s="11"/>
      <c r="D54" s="2">
        <v>63702.01</v>
      </c>
      <c r="E54" s="2"/>
      <c r="F54" s="19">
        <f t="shared" si="15"/>
        <v>0.16101401862107548</v>
      </c>
      <c r="G54" s="2"/>
      <c r="H54" s="2"/>
      <c r="I54" s="2"/>
      <c r="J54" s="19">
        <f t="shared" si="16"/>
        <v>0</v>
      </c>
      <c r="K54" s="2"/>
      <c r="L54" s="2">
        <f t="shared" si="17"/>
        <v>63702.01</v>
      </c>
      <c r="M54" s="2"/>
      <c r="N54" s="19">
        <f t="shared" si="18"/>
        <v>0</v>
      </c>
      <c r="O54" s="11"/>
      <c r="P54" s="2">
        <v>144257.64000000001</v>
      </c>
      <c r="Q54" s="2"/>
      <c r="R54" s="19">
        <f t="shared" si="19"/>
        <v>0.27759420220803577</v>
      </c>
      <c r="S54" s="2"/>
      <c r="T54" s="2"/>
      <c r="U54" s="2"/>
      <c r="V54" s="19">
        <f t="shared" si="20"/>
        <v>0</v>
      </c>
      <c r="W54" s="2"/>
      <c r="X54" s="2">
        <f t="shared" si="21"/>
        <v>144257.64000000001</v>
      </c>
      <c r="Y54" s="2"/>
      <c r="Z54" s="19">
        <f t="shared" si="22"/>
        <v>0</v>
      </c>
    </row>
    <row r="55" spans="1:26" s="24" customFormat="1" hidden="1" outlineLevel="1" x14ac:dyDescent="0.3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>
        <v>0</v>
      </c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>
        <v>8503.4</v>
      </c>
      <c r="U55" s="2"/>
      <c r="V55" s="19">
        <f t="shared" si="20"/>
        <v>1.9495963965871672E-2</v>
      </c>
      <c r="W55" s="2"/>
      <c r="X55" s="2">
        <f t="shared" si="21"/>
        <v>-8503.4</v>
      </c>
      <c r="Y55" s="2"/>
      <c r="Z55" s="19">
        <f t="shared" si="22"/>
        <v>-1</v>
      </c>
    </row>
    <row r="56" spans="1:26" s="24" customFormat="1" hidden="1" outlineLevel="1" x14ac:dyDescent="0.3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0</v>
      </c>
      <c r="E56" s="2"/>
      <c r="F56" s="19">
        <f t="shared" si="15"/>
        <v>0</v>
      </c>
      <c r="G56" s="2"/>
      <c r="H56" s="2"/>
      <c r="I56" s="2"/>
      <c r="J56" s="19">
        <f t="shared" si="16"/>
        <v>0</v>
      </c>
      <c r="K56" s="2"/>
      <c r="L56" s="2">
        <f t="shared" si="17"/>
        <v>0</v>
      </c>
      <c r="M56" s="2"/>
      <c r="N56" s="19">
        <f t="shared" si="18"/>
        <v>0</v>
      </c>
      <c r="O56" s="11"/>
      <c r="P56" s="2">
        <v>0</v>
      </c>
      <c r="Q56" s="2"/>
      <c r="R56" s="19">
        <f t="shared" si="19"/>
        <v>0</v>
      </c>
      <c r="S56" s="2"/>
      <c r="T56" s="2"/>
      <c r="U56" s="2"/>
      <c r="V56" s="19">
        <f t="shared" si="20"/>
        <v>0</v>
      </c>
      <c r="W56" s="2"/>
      <c r="X56" s="2">
        <f t="shared" si="21"/>
        <v>0</v>
      </c>
      <c r="Y56" s="2"/>
      <c r="Z56" s="19">
        <f t="shared" si="22"/>
        <v>0</v>
      </c>
    </row>
    <row r="57" spans="1:26" s="24" customFormat="1" hidden="1" outlineLevel="1" x14ac:dyDescent="0.3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0</v>
      </c>
      <c r="E57" s="2"/>
      <c r="F57" s="19">
        <f t="shared" si="15"/>
        <v>0</v>
      </c>
      <c r="G57" s="2"/>
      <c r="H57" s="2"/>
      <c r="I57" s="2"/>
      <c r="J57" s="19">
        <f t="shared" si="16"/>
        <v>0</v>
      </c>
      <c r="K57" s="2"/>
      <c r="L57" s="2">
        <f t="shared" si="17"/>
        <v>0</v>
      </c>
      <c r="M57" s="2"/>
      <c r="N57" s="19">
        <f t="shared" si="18"/>
        <v>0</v>
      </c>
      <c r="O57" s="11"/>
      <c r="P57" s="2">
        <v>0</v>
      </c>
      <c r="Q57" s="2"/>
      <c r="R57" s="19">
        <f t="shared" si="19"/>
        <v>0</v>
      </c>
      <c r="S57" s="2"/>
      <c r="T57" s="2"/>
      <c r="U57" s="2"/>
      <c r="V57" s="19">
        <f t="shared" si="20"/>
        <v>0</v>
      </c>
      <c r="W57" s="2"/>
      <c r="X57" s="2">
        <f t="shared" si="21"/>
        <v>0</v>
      </c>
      <c r="Y57" s="2"/>
      <c r="Z57" s="19">
        <f t="shared" si="22"/>
        <v>0</v>
      </c>
    </row>
    <row r="58" spans="1:26" s="24" customFormat="1" hidden="1" outlineLevel="1" x14ac:dyDescent="0.3">
      <c r="A58" s="44"/>
      <c r="B58" s="11" t="str">
        <f>CONCATENATE("          ", "5040", " - ", "PURCHASES @ COST-LOGO CLOTHING")</f>
        <v xml:space="preserve">          5040 - PURCHASES @ COST-LOGO CLOTHING</v>
      </c>
      <c r="C58" s="11"/>
      <c r="D58" s="2">
        <v>0</v>
      </c>
      <c r="E58" s="2"/>
      <c r="F58" s="19">
        <f t="shared" si="15"/>
        <v>0</v>
      </c>
      <c r="G58" s="2"/>
      <c r="H58" s="2">
        <v>7628.83</v>
      </c>
      <c r="I58" s="2"/>
      <c r="J58" s="19">
        <f t="shared" si="16"/>
        <v>2.646500730483782E-2</v>
      </c>
      <c r="K58" s="2"/>
      <c r="L58" s="2">
        <f t="shared" si="17"/>
        <v>-7628.83</v>
      </c>
      <c r="M58" s="2"/>
      <c r="N58" s="19">
        <f t="shared" si="18"/>
        <v>-1</v>
      </c>
      <c r="O58" s="11"/>
      <c r="P58" s="2">
        <v>0</v>
      </c>
      <c r="Q58" s="2"/>
      <c r="R58" s="19">
        <f t="shared" si="19"/>
        <v>0</v>
      </c>
      <c r="S58" s="2"/>
      <c r="T58" s="2">
        <v>9351.9</v>
      </c>
      <c r="U58" s="2"/>
      <c r="V58" s="19">
        <f t="shared" si="20"/>
        <v>2.1441341747117072E-2</v>
      </c>
      <c r="W58" s="2"/>
      <c r="X58" s="2">
        <f t="shared" si="21"/>
        <v>-9351.9</v>
      </c>
      <c r="Y58" s="2"/>
      <c r="Z58" s="19">
        <f t="shared" si="22"/>
        <v>-1</v>
      </c>
    </row>
    <row r="59" spans="1:26" s="24" customFormat="1" hidden="1" outlineLevel="1" x14ac:dyDescent="0.3">
      <c r="A59" s="44"/>
      <c r="B59" s="11" t="str">
        <f>CONCATENATE("          ", "5041", " - ", "PURCHASES @ COST-LOGO GIFTS")</f>
        <v xml:space="preserve">          5041 - PURCHASES @ COST-LOGO GIFTS</v>
      </c>
      <c r="C59" s="11"/>
      <c r="D59" s="2">
        <v>0</v>
      </c>
      <c r="E59" s="2"/>
      <c r="F59" s="19">
        <f t="shared" si="15"/>
        <v>0</v>
      </c>
      <c r="G59" s="2"/>
      <c r="H59" s="2">
        <v>1843.29</v>
      </c>
      <c r="I59" s="2"/>
      <c r="J59" s="19">
        <f t="shared" si="16"/>
        <v>6.3945170248825185E-3</v>
      </c>
      <c r="K59" s="2"/>
      <c r="L59" s="2">
        <f t="shared" si="17"/>
        <v>-1843.29</v>
      </c>
      <c r="M59" s="2"/>
      <c r="N59" s="19">
        <f t="shared" si="18"/>
        <v>-1</v>
      </c>
      <c r="O59" s="11"/>
      <c r="P59" s="2">
        <v>0</v>
      </c>
      <c r="Q59" s="2"/>
      <c r="R59" s="19">
        <f t="shared" si="19"/>
        <v>0</v>
      </c>
      <c r="S59" s="2"/>
      <c r="T59" s="2">
        <v>1129.54</v>
      </c>
      <c r="U59" s="2"/>
      <c r="V59" s="19">
        <f t="shared" si="20"/>
        <v>2.5897254201861244E-3</v>
      </c>
      <c r="W59" s="2"/>
      <c r="X59" s="2">
        <f t="shared" si="21"/>
        <v>-1129.54</v>
      </c>
      <c r="Y59" s="2"/>
      <c r="Z59" s="19">
        <f t="shared" si="22"/>
        <v>-1</v>
      </c>
    </row>
    <row r="60" spans="1:26" s="24" customFormat="1" hidden="1" outlineLevel="1" x14ac:dyDescent="0.3">
      <c r="A60" s="44"/>
      <c r="B60" s="11" t="str">
        <f>CONCATENATE("          ", "5042", " - ", "PURCHASES @ COST-EVERYDAY GIFT")</f>
        <v xml:space="preserve">          5042 - PURCHASES @ COST-EVERYDAY GIFT</v>
      </c>
      <c r="C60" s="11"/>
      <c r="D60" s="2">
        <v>0</v>
      </c>
      <c r="E60" s="2"/>
      <c r="F60" s="19">
        <f t="shared" si="15"/>
        <v>0</v>
      </c>
      <c r="G60" s="2"/>
      <c r="H60" s="2">
        <v>732.99</v>
      </c>
      <c r="I60" s="2"/>
      <c r="J60" s="19">
        <f t="shared" si="16"/>
        <v>2.5427995779658315E-3</v>
      </c>
      <c r="K60" s="2"/>
      <c r="L60" s="2">
        <f t="shared" si="17"/>
        <v>-732.99</v>
      </c>
      <c r="M60" s="2"/>
      <c r="N60" s="19">
        <f t="shared" si="18"/>
        <v>-1</v>
      </c>
      <c r="O60" s="11"/>
      <c r="P60" s="2">
        <v>0</v>
      </c>
      <c r="Q60" s="2"/>
      <c r="R60" s="19">
        <f t="shared" si="19"/>
        <v>0</v>
      </c>
      <c r="S60" s="2"/>
      <c r="T60" s="2">
        <v>969.15</v>
      </c>
      <c r="U60" s="2"/>
      <c r="V60" s="19">
        <f t="shared" si="20"/>
        <v>2.2219951404761074E-3</v>
      </c>
      <c r="W60" s="2"/>
      <c r="X60" s="2">
        <f t="shared" si="21"/>
        <v>-969.15</v>
      </c>
      <c r="Y60" s="2"/>
      <c r="Z60" s="19">
        <f t="shared" si="22"/>
        <v>-1</v>
      </c>
    </row>
    <row r="61" spans="1:26" s="24" customFormat="1" hidden="1" outlineLevel="1" x14ac:dyDescent="0.3">
      <c r="A61" s="44"/>
      <c r="B61" s="11" t="str">
        <f>CONCATENATE("          ", "5043", " - ", "PURCHASES @ COST-CARDS")</f>
        <v xml:space="preserve">          5043 - PURCHASES @ COST-CARDS</v>
      </c>
      <c r="C61" s="11"/>
      <c r="D61" s="2">
        <v>0</v>
      </c>
      <c r="E61" s="2"/>
      <c r="F61" s="19">
        <f t="shared" si="15"/>
        <v>0</v>
      </c>
      <c r="G61" s="2"/>
      <c r="H61" s="2">
        <v>1406.55</v>
      </c>
      <c r="I61" s="2"/>
      <c r="J61" s="19">
        <f t="shared" si="16"/>
        <v>4.8794318427097779E-3</v>
      </c>
      <c r="K61" s="2"/>
      <c r="L61" s="2">
        <f t="shared" si="17"/>
        <v>-1406.55</v>
      </c>
      <c r="M61" s="2"/>
      <c r="N61" s="19">
        <f t="shared" si="18"/>
        <v>-1</v>
      </c>
      <c r="O61" s="11"/>
      <c r="P61" s="2">
        <v>0</v>
      </c>
      <c r="Q61" s="2"/>
      <c r="R61" s="19">
        <f t="shared" si="19"/>
        <v>0</v>
      </c>
      <c r="S61" s="2"/>
      <c r="T61" s="2">
        <v>1715.25</v>
      </c>
      <c r="U61" s="2"/>
      <c r="V61" s="19">
        <f t="shared" si="20"/>
        <v>3.9325978070491084E-3</v>
      </c>
      <c r="W61" s="2"/>
      <c r="X61" s="2">
        <f t="shared" si="21"/>
        <v>-1715.25</v>
      </c>
      <c r="Y61" s="2"/>
      <c r="Z61" s="19">
        <f t="shared" si="22"/>
        <v>-1</v>
      </c>
    </row>
    <row r="62" spans="1:26" s="24" customFormat="1" hidden="1" outlineLevel="1" x14ac:dyDescent="0.3">
      <c r="A62" s="44"/>
      <c r="B62" s="11" t="str">
        <f>CONCATENATE("          ", "5044", " - ", "PURCHASES @ COST-ACCESSORIES")</f>
        <v xml:space="preserve">          5044 - PURCHASES @ COST-ACCESSORIES</v>
      </c>
      <c r="C62" s="11"/>
      <c r="D62" s="2">
        <v>0</v>
      </c>
      <c r="E62" s="2"/>
      <c r="F62" s="19">
        <f t="shared" si="15"/>
        <v>0</v>
      </c>
      <c r="G62" s="2"/>
      <c r="H62" s="2"/>
      <c r="I62" s="2"/>
      <c r="J62" s="19">
        <f t="shared" si="16"/>
        <v>0</v>
      </c>
      <c r="K62" s="2"/>
      <c r="L62" s="2">
        <f t="shared" si="17"/>
        <v>0</v>
      </c>
      <c r="M62" s="2"/>
      <c r="N62" s="19">
        <f t="shared" si="18"/>
        <v>0</v>
      </c>
      <c r="O62" s="11"/>
      <c r="P62" s="2">
        <v>0</v>
      </c>
      <c r="Q62" s="2"/>
      <c r="R62" s="19">
        <f t="shared" si="19"/>
        <v>0</v>
      </c>
      <c r="S62" s="2"/>
      <c r="T62" s="2"/>
      <c r="U62" s="2"/>
      <c r="V62" s="19">
        <f t="shared" si="20"/>
        <v>0</v>
      </c>
      <c r="W62" s="2"/>
      <c r="X62" s="2">
        <f t="shared" si="21"/>
        <v>0</v>
      </c>
      <c r="Y62" s="2"/>
      <c r="Z62" s="19">
        <f t="shared" si="22"/>
        <v>0</v>
      </c>
    </row>
    <row r="63" spans="1:26" s="24" customFormat="1" hidden="1" outlineLevel="1" x14ac:dyDescent="0.3">
      <c r="A63" s="44"/>
      <c r="B63" s="11" t="str">
        <f>CONCATENATE("          ", "5045", " - ", "PURCHASES @ COST-SPECIAL ORDER")</f>
        <v xml:space="preserve">          5045 - PURCHASES @ COST-SPECIAL ORDER</v>
      </c>
      <c r="C63" s="11"/>
      <c r="D63" s="2">
        <v>0</v>
      </c>
      <c r="E63" s="2"/>
      <c r="F63" s="19">
        <f t="shared" si="15"/>
        <v>0</v>
      </c>
      <c r="G63" s="2"/>
      <c r="H63" s="2">
        <v>5633.96</v>
      </c>
      <c r="I63" s="2"/>
      <c r="J63" s="19">
        <f t="shared" si="16"/>
        <v>1.9544647417122165E-2</v>
      </c>
      <c r="K63" s="2"/>
      <c r="L63" s="2">
        <f t="shared" si="17"/>
        <v>-5633.96</v>
      </c>
      <c r="M63" s="2"/>
      <c r="N63" s="19">
        <f t="shared" si="18"/>
        <v>-1</v>
      </c>
      <c r="O63" s="11"/>
      <c r="P63" s="2">
        <v>0</v>
      </c>
      <c r="Q63" s="2"/>
      <c r="R63" s="19">
        <f t="shared" si="19"/>
        <v>0</v>
      </c>
      <c r="S63" s="2"/>
      <c r="T63" s="2">
        <v>8390.17</v>
      </c>
      <c r="U63" s="2"/>
      <c r="V63" s="19">
        <f t="shared" si="20"/>
        <v>1.9236358631551796E-2</v>
      </c>
      <c r="W63" s="2"/>
      <c r="X63" s="2">
        <f t="shared" si="21"/>
        <v>-8390.17</v>
      </c>
      <c r="Y63" s="2"/>
      <c r="Z63" s="19">
        <f t="shared" si="22"/>
        <v>-1</v>
      </c>
    </row>
    <row r="64" spans="1:26" s="24" customFormat="1" hidden="1" outlineLevel="1" x14ac:dyDescent="0.3">
      <c r="A64" s="44"/>
      <c r="B64" s="11" t="str">
        <f>CONCATENATE("          ", "5200", " - ", "PURCHASES OFFSET")</f>
        <v xml:space="preserve">          5200 - PURCHASES OFFSET</v>
      </c>
      <c r="C64" s="11"/>
      <c r="D64" s="2">
        <v>-66711.179999999993</v>
      </c>
      <c r="E64" s="2"/>
      <c r="F64" s="19">
        <f t="shared" si="15"/>
        <v>-0.16862003536079812</v>
      </c>
      <c r="G64" s="2"/>
      <c r="H64" s="2">
        <v>-18536.04</v>
      </c>
      <c r="I64" s="2"/>
      <c r="J64" s="19">
        <f t="shared" si="16"/>
        <v>-6.4302970967077003E-2</v>
      </c>
      <c r="K64" s="2"/>
      <c r="L64" s="2">
        <f t="shared" si="17"/>
        <v>-48175.139999999992</v>
      </c>
      <c r="M64" s="2"/>
      <c r="N64" s="19">
        <f t="shared" si="18"/>
        <v>2.5989984915871993</v>
      </c>
      <c r="O64" s="11"/>
      <c r="P64" s="2">
        <v>-148668.13</v>
      </c>
      <c r="Q64" s="2"/>
      <c r="R64" s="19">
        <f t="shared" si="19"/>
        <v>-0.28608128443741732</v>
      </c>
      <c r="S64" s="2"/>
      <c r="T64" s="2">
        <v>-31649.64</v>
      </c>
      <c r="U64" s="2"/>
      <c r="V64" s="19">
        <f t="shared" si="20"/>
        <v>-7.256394394863358E-2</v>
      </c>
      <c r="W64" s="2"/>
      <c r="X64" s="2">
        <f t="shared" si="21"/>
        <v>-117018.49</v>
      </c>
      <c r="Y64" s="2"/>
      <c r="Z64" s="19">
        <f t="shared" si="22"/>
        <v>3.6973087213630236</v>
      </c>
    </row>
    <row r="65" spans="1:26" s="24" customFormat="1" hidden="1" outlineLevel="1" x14ac:dyDescent="0.3">
      <c r="A65" s="44"/>
      <c r="B65" s="11" t="str">
        <f>CONCATENATE("          ", "5300", " - ", "COG$ OFFSET")</f>
        <v xml:space="preserve">          5300 - COG$ OFFSET</v>
      </c>
      <c r="C65" s="11"/>
      <c r="D65" s="2">
        <v>163570.48000000001</v>
      </c>
      <c r="E65" s="2"/>
      <c r="F65" s="19">
        <f t="shared" si="15"/>
        <v>0.41344284603544307</v>
      </c>
      <c r="G65" s="2"/>
      <c r="H65" s="2">
        <v>171786</v>
      </c>
      <c r="I65" s="2"/>
      <c r="J65" s="19">
        <f t="shared" si="16"/>
        <v>0.59593905551295145</v>
      </c>
      <c r="K65" s="2"/>
      <c r="L65" s="2">
        <f t="shared" si="17"/>
        <v>-8215.5199999999895</v>
      </c>
      <c r="M65" s="2"/>
      <c r="N65" s="19">
        <f t="shared" si="18"/>
        <v>-4.7824153307021465E-2</v>
      </c>
      <c r="O65" s="11"/>
      <c r="P65" s="2">
        <v>230307.84</v>
      </c>
      <c r="Q65" s="2"/>
      <c r="R65" s="19">
        <f t="shared" si="19"/>
        <v>0.44318014010943158</v>
      </c>
      <c r="S65" s="2"/>
      <c r="T65" s="2">
        <v>270956</v>
      </c>
      <c r="U65" s="2"/>
      <c r="V65" s="19">
        <f t="shared" si="20"/>
        <v>0.62122779268724571</v>
      </c>
      <c r="W65" s="2"/>
      <c r="X65" s="2">
        <f t="shared" si="21"/>
        <v>-40648.160000000003</v>
      </c>
      <c r="Y65" s="2"/>
      <c r="Z65" s="19">
        <f t="shared" si="22"/>
        <v>-0.15001756742792188</v>
      </c>
    </row>
    <row r="66" spans="1:26" s="24" customFormat="1" hidden="1" outlineLevel="1" x14ac:dyDescent="0.3">
      <c r="A66" s="44"/>
      <c r="B66" s="11" t="str">
        <f>CONCATENATE("          ", "5500", " - ", "FREIGHT-IN")</f>
        <v xml:space="preserve">          5500 - FREIGHT-IN</v>
      </c>
      <c r="C66" s="11"/>
      <c r="D66" s="2">
        <v>3009.17</v>
      </c>
      <c r="E66" s="2"/>
      <c r="F66" s="19">
        <f t="shared" si="15"/>
        <v>7.6060167397226817E-3</v>
      </c>
      <c r="G66" s="2"/>
      <c r="H66" s="2"/>
      <c r="I66" s="2"/>
      <c r="J66" s="19">
        <f t="shared" si="16"/>
        <v>0</v>
      </c>
      <c r="K66" s="2"/>
      <c r="L66" s="2">
        <f t="shared" si="17"/>
        <v>3009.17</v>
      </c>
      <c r="M66" s="2"/>
      <c r="N66" s="19">
        <f t="shared" si="18"/>
        <v>0</v>
      </c>
      <c r="O66" s="11"/>
      <c r="P66" s="2">
        <v>4410.49</v>
      </c>
      <c r="Q66" s="2"/>
      <c r="R66" s="19">
        <f t="shared" si="19"/>
        <v>8.4870822293815398E-3</v>
      </c>
      <c r="S66" s="2"/>
      <c r="T66" s="2"/>
      <c r="U66" s="2"/>
      <c r="V66" s="19">
        <f t="shared" si="20"/>
        <v>0</v>
      </c>
      <c r="W66" s="2"/>
      <c r="X66" s="2">
        <f t="shared" si="21"/>
        <v>4410.49</v>
      </c>
      <c r="Y66" s="2"/>
      <c r="Z66" s="19">
        <f t="shared" si="22"/>
        <v>0</v>
      </c>
    </row>
    <row r="67" spans="1:26" s="24" customFormat="1" hidden="1" outlineLevel="1" x14ac:dyDescent="0.3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>
        <v>0</v>
      </c>
      <c r="E67" s="2"/>
      <c r="F67" s="19">
        <f t="shared" si="15"/>
        <v>0</v>
      </c>
      <c r="G67" s="2"/>
      <c r="H67" s="2"/>
      <c r="I67" s="2"/>
      <c r="J67" s="19">
        <f t="shared" si="16"/>
        <v>0</v>
      </c>
      <c r="K67" s="2"/>
      <c r="L67" s="2">
        <f t="shared" si="17"/>
        <v>0</v>
      </c>
      <c r="M67" s="2"/>
      <c r="N67" s="19">
        <f t="shared" si="18"/>
        <v>0</v>
      </c>
      <c r="O67" s="11"/>
      <c r="P67" s="2">
        <v>0</v>
      </c>
      <c r="Q67" s="2"/>
      <c r="R67" s="19">
        <f t="shared" si="19"/>
        <v>0</v>
      </c>
      <c r="S67" s="2"/>
      <c r="T67" s="2"/>
      <c r="U67" s="2"/>
      <c r="V67" s="19">
        <f t="shared" si="20"/>
        <v>0</v>
      </c>
      <c r="W67" s="2"/>
      <c r="X67" s="2">
        <f t="shared" si="21"/>
        <v>0</v>
      </c>
      <c r="Y67" s="2"/>
      <c r="Z67" s="19">
        <f t="shared" si="22"/>
        <v>0</v>
      </c>
    </row>
    <row r="68" spans="1:26" s="24" customFormat="1" hidden="1" outlineLevel="1" x14ac:dyDescent="0.3">
      <c r="A68" s="44"/>
      <c r="B68" s="11" t="str">
        <f>CONCATENATE("          ", "5540", " - ", "FREIGHT-IN-LOGO CLOTHING")</f>
        <v xml:space="preserve">          5540 - FREIGHT-IN-LOGO CLOTHING</v>
      </c>
      <c r="C68" s="11"/>
      <c r="D68" s="2">
        <v>0</v>
      </c>
      <c r="E68" s="2"/>
      <c r="F68" s="19">
        <f t="shared" si="15"/>
        <v>0</v>
      </c>
      <c r="G68" s="2"/>
      <c r="H68" s="2">
        <v>1021.7</v>
      </c>
      <c r="I68" s="2"/>
      <c r="J68" s="19">
        <f t="shared" si="16"/>
        <v>3.5443571246643068E-3</v>
      </c>
      <c r="K68" s="2"/>
      <c r="L68" s="2">
        <f t="shared" si="17"/>
        <v>-1021.7</v>
      </c>
      <c r="M68" s="2"/>
      <c r="N68" s="19">
        <f t="shared" si="18"/>
        <v>-1</v>
      </c>
      <c r="O68" s="11"/>
      <c r="P68" s="2">
        <v>0</v>
      </c>
      <c r="Q68" s="2"/>
      <c r="R68" s="19">
        <f t="shared" si="19"/>
        <v>0</v>
      </c>
      <c r="S68" s="2"/>
      <c r="T68" s="2">
        <v>1931.53</v>
      </c>
      <c r="U68" s="2"/>
      <c r="V68" s="19">
        <f t="shared" si="20"/>
        <v>4.4284685277653779E-3</v>
      </c>
      <c r="W68" s="2"/>
      <c r="X68" s="2">
        <f t="shared" si="21"/>
        <v>-1931.53</v>
      </c>
      <c r="Y68" s="2"/>
      <c r="Z68" s="19">
        <f t="shared" si="22"/>
        <v>-1</v>
      </c>
    </row>
    <row r="69" spans="1:26" s="24" customFormat="1" hidden="1" outlineLevel="1" x14ac:dyDescent="0.3">
      <c r="A69" s="44"/>
      <c r="B69" s="11" t="str">
        <f>CONCATENATE("          ", "5541", " - ", "FREIGHT-IN-LOGO GIFTS")</f>
        <v xml:space="preserve">          5541 - FREIGHT-IN-LOGO GIFTS</v>
      </c>
      <c r="C69" s="11"/>
      <c r="D69" s="2">
        <v>0</v>
      </c>
      <c r="E69" s="2"/>
      <c r="F69" s="19">
        <f t="shared" si="15"/>
        <v>0</v>
      </c>
      <c r="G69" s="2"/>
      <c r="H69" s="2">
        <v>123.12</v>
      </c>
      <c r="I69" s="2"/>
      <c r="J69" s="19">
        <f t="shared" si="16"/>
        <v>4.2711289927441464E-4</v>
      </c>
      <c r="K69" s="2"/>
      <c r="L69" s="2">
        <f t="shared" si="17"/>
        <v>-123.12</v>
      </c>
      <c r="M69" s="2"/>
      <c r="N69" s="19">
        <f t="shared" si="18"/>
        <v>-1</v>
      </c>
      <c r="O69" s="11"/>
      <c r="P69" s="2">
        <v>0</v>
      </c>
      <c r="Q69" s="2"/>
      <c r="R69" s="19">
        <f t="shared" si="19"/>
        <v>0</v>
      </c>
      <c r="S69" s="2"/>
      <c r="T69" s="2">
        <v>206.7</v>
      </c>
      <c r="U69" s="2"/>
      <c r="V69" s="19">
        <f t="shared" si="20"/>
        <v>4.739064082303167E-4</v>
      </c>
      <c r="W69" s="2"/>
      <c r="X69" s="2">
        <f t="shared" si="21"/>
        <v>-206.7</v>
      </c>
      <c r="Y69" s="2"/>
      <c r="Z69" s="19">
        <f t="shared" si="22"/>
        <v>-1</v>
      </c>
    </row>
    <row r="70" spans="1:26" s="24" customFormat="1" hidden="1" outlineLevel="1" x14ac:dyDescent="0.3">
      <c r="A70" s="44"/>
      <c r="B70" s="11" t="str">
        <f>CONCATENATE("          ", "5542", " - ", "FREIGHT-IN-EVERYDAY GIFTS")</f>
        <v xml:space="preserve">          5542 - FREIGHT-IN-EVERYDAY GIFTS</v>
      </c>
      <c r="C70" s="11"/>
      <c r="D70" s="2">
        <v>0</v>
      </c>
      <c r="E70" s="2"/>
      <c r="F70" s="19">
        <f t="shared" si="15"/>
        <v>0</v>
      </c>
      <c r="G70" s="2"/>
      <c r="H70" s="2"/>
      <c r="I70" s="2"/>
      <c r="J70" s="19">
        <f t="shared" si="16"/>
        <v>0</v>
      </c>
      <c r="K70" s="2"/>
      <c r="L70" s="2">
        <f t="shared" si="17"/>
        <v>0</v>
      </c>
      <c r="M70" s="2"/>
      <c r="N70" s="19">
        <f t="shared" si="18"/>
        <v>0</v>
      </c>
      <c r="O70" s="11"/>
      <c r="P70" s="2">
        <v>0</v>
      </c>
      <c r="Q70" s="2"/>
      <c r="R70" s="19">
        <f t="shared" si="19"/>
        <v>0</v>
      </c>
      <c r="S70" s="2"/>
      <c r="T70" s="2">
        <v>5.94</v>
      </c>
      <c r="U70" s="2"/>
      <c r="V70" s="19">
        <f t="shared" si="20"/>
        <v>1.3618790831582397E-5</v>
      </c>
      <c r="W70" s="2"/>
      <c r="X70" s="2">
        <f t="shared" si="21"/>
        <v>-5.94</v>
      </c>
      <c r="Y70" s="2"/>
      <c r="Z70" s="19">
        <f t="shared" si="22"/>
        <v>-1</v>
      </c>
    </row>
    <row r="71" spans="1:26" s="24" customFormat="1" hidden="1" outlineLevel="1" x14ac:dyDescent="0.3">
      <c r="A71" s="44"/>
      <c r="B71" s="11" t="str">
        <f>CONCATENATE("          ", "5544", " - ", "FREIGHT-IN-ACCESSORIES")</f>
        <v xml:space="preserve">          5544 - FREIGHT-IN-ACCESSORIES</v>
      </c>
      <c r="C71" s="11"/>
      <c r="D71" s="2">
        <v>0</v>
      </c>
      <c r="E71" s="2"/>
      <c r="F71" s="19">
        <f t="shared" si="15"/>
        <v>0</v>
      </c>
      <c r="G71" s="2"/>
      <c r="H71" s="2"/>
      <c r="I71" s="2"/>
      <c r="J71" s="19">
        <f t="shared" si="16"/>
        <v>0</v>
      </c>
      <c r="K71" s="2"/>
      <c r="L71" s="2">
        <f t="shared" si="17"/>
        <v>0</v>
      </c>
      <c r="M71" s="2"/>
      <c r="N71" s="19">
        <f t="shared" si="18"/>
        <v>0</v>
      </c>
      <c r="O71" s="11"/>
      <c r="P71" s="2">
        <v>0</v>
      </c>
      <c r="Q71" s="2"/>
      <c r="R71" s="19">
        <f t="shared" si="19"/>
        <v>0</v>
      </c>
      <c r="S71" s="2"/>
      <c r="T71" s="2"/>
      <c r="U71" s="2"/>
      <c r="V71" s="19">
        <f t="shared" si="20"/>
        <v>0</v>
      </c>
      <c r="W71" s="2"/>
      <c r="X71" s="2">
        <f t="shared" si="21"/>
        <v>0</v>
      </c>
      <c r="Y71" s="2"/>
      <c r="Z71" s="19">
        <f t="shared" si="22"/>
        <v>0</v>
      </c>
    </row>
    <row r="72" spans="1:26" s="24" customFormat="1" hidden="1" outlineLevel="1" x14ac:dyDescent="0.3">
      <c r="A72" s="44"/>
      <c r="B72" s="11" t="str">
        <f>CONCATENATE("          ", "5545", " - ", "FREIGHT-IN-SPECIAL ORDERS")</f>
        <v xml:space="preserve">          5545 - FREIGHT-IN-SPECIAL ORDERS</v>
      </c>
      <c r="C72" s="11"/>
      <c r="D72" s="2">
        <v>0</v>
      </c>
      <c r="E72" s="2"/>
      <c r="F72" s="19">
        <f t="shared" si="15"/>
        <v>0</v>
      </c>
      <c r="G72" s="2"/>
      <c r="H72" s="2">
        <v>145.6</v>
      </c>
      <c r="I72" s="2"/>
      <c r="J72" s="19">
        <f t="shared" si="16"/>
        <v>5.0509777562016546E-4</v>
      </c>
      <c r="K72" s="2"/>
      <c r="L72" s="2">
        <f t="shared" si="17"/>
        <v>-145.6</v>
      </c>
      <c r="M72" s="2"/>
      <c r="N72" s="19">
        <f t="shared" si="18"/>
        <v>-1</v>
      </c>
      <c r="O72" s="11"/>
      <c r="P72" s="2">
        <v>0</v>
      </c>
      <c r="Q72" s="2"/>
      <c r="R72" s="19">
        <f t="shared" si="19"/>
        <v>0</v>
      </c>
      <c r="S72" s="2"/>
      <c r="T72" s="2">
        <v>446</v>
      </c>
      <c r="U72" s="2"/>
      <c r="V72" s="19">
        <f t="shared" si="20"/>
        <v>1.022555675233291E-3</v>
      </c>
      <c r="W72" s="2"/>
      <c r="X72" s="2">
        <f t="shared" si="21"/>
        <v>-446</v>
      </c>
      <c r="Y72" s="2"/>
      <c r="Z72" s="19">
        <f t="shared" si="22"/>
        <v>-1</v>
      </c>
    </row>
    <row r="73" spans="1:26" x14ac:dyDescent="0.3">
      <c r="A73" s="9"/>
      <c r="B73" s="10"/>
      <c r="C73" s="10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O73" s="10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s="23" customFormat="1" x14ac:dyDescent="0.3">
      <c r="A74" s="10"/>
      <c r="B74" s="25" t="s">
        <v>107</v>
      </c>
      <c r="C74" s="25"/>
      <c r="D74" s="20">
        <f>D12-D53</f>
        <v>232059.72999999998</v>
      </c>
      <c r="E74" s="13"/>
      <c r="F74" s="22">
        <f>IF(D$12=0,0,D74/D$12)</f>
        <v>0.58655715396455688</v>
      </c>
      <c r="G74" s="13"/>
      <c r="H74" s="20">
        <f>H12-H53</f>
        <v>116475.01999999996</v>
      </c>
      <c r="I74" s="13"/>
      <c r="J74" s="22">
        <f>IF(H$12=0,0,H74/H$12)</f>
        <v>0.40406094448704849</v>
      </c>
      <c r="K74" s="15"/>
      <c r="L74" s="20">
        <f>+D74-H74</f>
        <v>115584.71000000002</v>
      </c>
      <c r="M74" s="15"/>
      <c r="N74" s="22">
        <f>IF(H74=0,0,L74/H74)</f>
        <v>0.99235621509230099</v>
      </c>
      <c r="O74" s="26"/>
      <c r="P74" s="20">
        <f>P12-P53</f>
        <v>289363.09999999998</v>
      </c>
      <c r="Q74" s="13"/>
      <c r="R74" s="22">
        <f>IF(P$12=0,0,P74/P$12)</f>
        <v>0.55681985989056848</v>
      </c>
      <c r="S74" s="13"/>
      <c r="T74" s="20">
        <f>T12-T53</f>
        <v>164206.13</v>
      </c>
      <c r="U74" s="13"/>
      <c r="V74" s="22">
        <f>IF(T$12=0,0,T74/T$12)</f>
        <v>0.37647961914707528</v>
      </c>
      <c r="W74" s="15"/>
      <c r="X74" s="20">
        <f>+P74-T74</f>
        <v>125156.96999999997</v>
      </c>
      <c r="Y74" s="15"/>
      <c r="Z74" s="22">
        <f>IF(T74=0,0,X74/T74)</f>
        <v>0.76219426156623971</v>
      </c>
    </row>
    <row r="75" spans="1:26" x14ac:dyDescent="0.3">
      <c r="A75" s="9"/>
      <c r="B75" s="10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">
      <c r="A76" s="10"/>
      <c r="B76" s="26" t="s">
        <v>294</v>
      </c>
      <c r="C76" s="10"/>
      <c r="D76" s="21">
        <f>SUM(OSRRefD22x_0)</f>
        <v>82435.01999999999</v>
      </c>
      <c r="E76" s="21"/>
      <c r="F76" s="32">
        <f t="shared" ref="F76:F85" si="23">IF(D$12=0,0,D76/D$12)</f>
        <v>0.20836381529105166</v>
      </c>
      <c r="G76" s="21"/>
      <c r="H76" s="21">
        <f>SUM(OSRRefH22x_0)</f>
        <v>60098.720000000001</v>
      </c>
      <c r="I76" s="21"/>
      <c r="J76" s="32">
        <f t="shared" ref="J76:J85" si="24">IF(H$12=0,0,H76/H$12)</f>
        <v>0.20848715514848318</v>
      </c>
      <c r="K76" s="4"/>
      <c r="L76" s="21">
        <f t="shared" ref="L76:L85" si="25">+D76-H76</f>
        <v>22336.299999999988</v>
      </c>
      <c r="M76" s="4"/>
      <c r="N76" s="32">
        <f t="shared" ref="N76:N85" si="26">IF(H76=0,0,L76/H76)</f>
        <v>0.37166016181376221</v>
      </c>
      <c r="O76" s="10"/>
      <c r="P76" s="21">
        <f>SUM(OSRRefP22x_0)</f>
        <v>161726.03000000006</v>
      </c>
      <c r="Q76" s="21"/>
      <c r="R76" s="32">
        <f t="shared" ref="R76:R85" si="27">IF(P$12=0,0,P76/P$12)</f>
        <v>0.31120853130636877</v>
      </c>
      <c r="S76" s="21"/>
      <c r="T76" s="21">
        <f>SUM(OSRRefT22x_0)</f>
        <v>99809.78</v>
      </c>
      <c r="U76" s="21"/>
      <c r="V76" s="32">
        <f t="shared" ref="V76:V85" si="28">IF(T$12=0,0,T76/T$12)</f>
        <v>0.22883645063404984</v>
      </c>
      <c r="W76" s="4"/>
      <c r="X76" s="21">
        <f t="shared" ref="X76:X85" si="29">+P76-T76</f>
        <v>61916.250000000058</v>
      </c>
      <c r="Y76" s="4"/>
      <c r="Z76" s="32">
        <f t="shared" ref="Z76:Z85" si="30">IF(T76=0,0,X76/T76)</f>
        <v>0.62034251553304753</v>
      </c>
    </row>
    <row r="77" spans="1:26" s="28" customFormat="1" outlineLevel="1" collapsed="1" x14ac:dyDescent="0.3">
      <c r="A77" s="29"/>
      <c r="B77" s="14" t="str">
        <f>CONCATENATE("     ","*Benefits                                         ")</f>
        <v xml:space="preserve">     *Benefits                                         </v>
      </c>
      <c r="C77" s="14"/>
      <c r="D77" s="1">
        <f>SUM(OSRRefD22_0x_0)</f>
        <v>13757.34</v>
      </c>
      <c r="E77" s="1"/>
      <c r="F77" s="5">
        <f t="shared" si="23"/>
        <v>3.4773229273871678E-2</v>
      </c>
      <c r="G77" s="1"/>
      <c r="H77" s="1">
        <f>SUM(OSRRefH22_0x_0)</f>
        <v>10388.86</v>
      </c>
      <c r="I77" s="1"/>
      <c r="J77" s="5">
        <f t="shared" si="24"/>
        <v>3.6039767013937581E-2</v>
      </c>
      <c r="K77" s="1"/>
      <c r="L77" s="1">
        <f t="shared" si="25"/>
        <v>3368.4799999999996</v>
      </c>
      <c r="M77" s="1"/>
      <c r="N77" s="5">
        <f t="shared" si="26"/>
        <v>0.32423961820642488</v>
      </c>
      <c r="O77" s="14"/>
      <c r="P77" s="1">
        <f>SUM(OSRRefP22_0x_0)</f>
        <v>26135.09</v>
      </c>
      <c r="Q77" s="1"/>
      <c r="R77" s="5">
        <f t="shared" si="27"/>
        <v>5.0291613381344746E-2</v>
      </c>
      <c r="S77" s="1"/>
      <c r="T77" s="1">
        <f>SUM(OSRRefT22_0x_0)</f>
        <v>19271.57</v>
      </c>
      <c r="U77" s="1"/>
      <c r="V77" s="5">
        <f t="shared" si="28"/>
        <v>4.4184424381514875E-2</v>
      </c>
      <c r="W77" s="1"/>
      <c r="X77" s="1">
        <f t="shared" si="29"/>
        <v>6863.52</v>
      </c>
      <c r="Y77" s="1"/>
      <c r="Z77" s="5">
        <f t="shared" si="30"/>
        <v>0.35614742338065869</v>
      </c>
    </row>
    <row r="78" spans="1:26" s="24" customFormat="1" hidden="1" outlineLevel="2" x14ac:dyDescent="0.3">
      <c r="A78" s="27"/>
      <c r="B78" s="11" t="str">
        <f>CONCATENATE("          ", "6111", " - ", "F.I.C.A.")</f>
        <v xml:space="preserve">          6111 - F.I.C.A.</v>
      </c>
      <c r="C78" s="11"/>
      <c r="D78" s="7">
        <v>3791.4</v>
      </c>
      <c r="E78" s="2"/>
      <c r="F78" s="8">
        <f t="shared" si="23"/>
        <v>9.5831913341501394E-3</v>
      </c>
      <c r="G78" s="2"/>
      <c r="H78" s="7">
        <v>2014.11</v>
      </c>
      <c r="I78" s="2"/>
      <c r="J78" s="8">
        <f t="shared" si="24"/>
        <v>6.9871049509226055E-3</v>
      </c>
      <c r="K78" s="2"/>
      <c r="L78" s="7">
        <f t="shared" si="25"/>
        <v>1777.2900000000002</v>
      </c>
      <c r="M78" s="2"/>
      <c r="N78" s="8">
        <f t="shared" si="26"/>
        <v>0.88241953021433794</v>
      </c>
      <c r="O78" s="11"/>
      <c r="P78" s="7">
        <v>6645.83</v>
      </c>
      <c r="Q78" s="2"/>
      <c r="R78" s="8">
        <f t="shared" si="27"/>
        <v>1.2788534991007966E-2</v>
      </c>
      <c r="S78" s="2"/>
      <c r="T78" s="7">
        <v>3414.17</v>
      </c>
      <c r="U78" s="2"/>
      <c r="V78" s="8">
        <f t="shared" si="28"/>
        <v>7.8277554029400117E-3</v>
      </c>
      <c r="W78" s="2"/>
      <c r="X78" s="7">
        <f t="shared" si="29"/>
        <v>3231.66</v>
      </c>
      <c r="Y78" s="2"/>
      <c r="Z78" s="8">
        <f t="shared" si="30"/>
        <v>0.94654337657468723</v>
      </c>
    </row>
    <row r="79" spans="1:26" s="24" customFormat="1" hidden="1" outlineLevel="2" x14ac:dyDescent="0.3">
      <c r="A79" s="27"/>
      <c r="B79" s="11" t="str">
        <f>CONCATENATE("          ", "6112", " - ", "COMPENSATION INSURANCE")</f>
        <v xml:space="preserve">          6112 - COMPENSATION INSURANCE</v>
      </c>
      <c r="C79" s="11"/>
      <c r="D79" s="7">
        <v>881.59</v>
      </c>
      <c r="E79" s="2"/>
      <c r="F79" s="8">
        <f t="shared" si="23"/>
        <v>2.2283182065393845E-3</v>
      </c>
      <c r="G79" s="2"/>
      <c r="H79" s="7">
        <v>600.29</v>
      </c>
      <c r="I79" s="2"/>
      <c r="J79" s="8">
        <f t="shared" si="24"/>
        <v>2.0824529102131117E-3</v>
      </c>
      <c r="K79" s="2"/>
      <c r="L79" s="7">
        <f t="shared" si="25"/>
        <v>281.30000000000007</v>
      </c>
      <c r="M79" s="2"/>
      <c r="N79" s="8">
        <f t="shared" si="26"/>
        <v>0.46860684002732028</v>
      </c>
      <c r="O79" s="11"/>
      <c r="P79" s="7">
        <v>1578.83</v>
      </c>
      <c r="Q79" s="2"/>
      <c r="R79" s="8">
        <f t="shared" si="27"/>
        <v>3.0381340930859058E-3</v>
      </c>
      <c r="S79" s="2"/>
      <c r="T79" s="7">
        <v>962.34</v>
      </c>
      <c r="U79" s="2"/>
      <c r="V79" s="8">
        <f t="shared" si="28"/>
        <v>2.2063816782601016E-3</v>
      </c>
      <c r="W79" s="2"/>
      <c r="X79" s="7">
        <f t="shared" si="29"/>
        <v>616.4899999999999</v>
      </c>
      <c r="Y79" s="2"/>
      <c r="Z79" s="8">
        <f t="shared" si="30"/>
        <v>0.64061558285013598</v>
      </c>
    </row>
    <row r="80" spans="1:26" s="24" customFormat="1" hidden="1" outlineLevel="2" x14ac:dyDescent="0.3">
      <c r="A80" s="27"/>
      <c r="B80" s="11" t="str">
        <f>CONCATENATE("          ", "6113", " - ", "GROUP INSURANCE")</f>
        <v xml:space="preserve">          6113 - GROUP INSURANCE</v>
      </c>
      <c r="C80" s="11"/>
      <c r="D80" s="7">
        <v>4284.43</v>
      </c>
      <c r="E80" s="2"/>
      <c r="F80" s="8">
        <f t="shared" si="23"/>
        <v>1.0829380294290468E-2</v>
      </c>
      <c r="G80" s="2"/>
      <c r="H80" s="7">
        <v>3662.35</v>
      </c>
      <c r="I80" s="2"/>
      <c r="J80" s="8">
        <f t="shared" si="24"/>
        <v>1.2704978286693083E-2</v>
      </c>
      <c r="K80" s="2"/>
      <c r="L80" s="7">
        <f t="shared" si="25"/>
        <v>622.08000000000038</v>
      </c>
      <c r="M80" s="2"/>
      <c r="N80" s="8">
        <f t="shared" si="26"/>
        <v>0.16985815118707945</v>
      </c>
      <c r="O80" s="11"/>
      <c r="P80" s="7">
        <v>8568.86</v>
      </c>
      <c r="Q80" s="2"/>
      <c r="R80" s="8">
        <f t="shared" si="27"/>
        <v>1.6489011296263751E-2</v>
      </c>
      <c r="S80" s="2"/>
      <c r="T80" s="7">
        <v>6488.48</v>
      </c>
      <c r="U80" s="2"/>
      <c r="V80" s="8">
        <f t="shared" si="28"/>
        <v>1.4876305039546421E-2</v>
      </c>
      <c r="W80" s="2"/>
      <c r="X80" s="7">
        <f t="shared" si="29"/>
        <v>2080.380000000001</v>
      </c>
      <c r="Y80" s="2"/>
      <c r="Z80" s="8">
        <f t="shared" si="30"/>
        <v>0.3206267107242376</v>
      </c>
    </row>
    <row r="81" spans="1:26" s="24" customFormat="1" hidden="1" outlineLevel="2" x14ac:dyDescent="0.3">
      <c r="A81" s="27"/>
      <c r="B81" s="11" t="str">
        <f>CONCATENATE("          ", "6114", " - ", "STATE UNEMPLOYMENT INSURANCE")</f>
        <v xml:space="preserve">          6114 - STATE UNEMPLOYMENT INSURANCE</v>
      </c>
      <c r="C81" s="11"/>
      <c r="D81" s="7">
        <v>154.87</v>
      </c>
      <c r="E81" s="2"/>
      <c r="F81" s="8">
        <f t="shared" si="23"/>
        <v>3.9145140104442479E-4</v>
      </c>
      <c r="G81" s="2"/>
      <c r="H81" s="7">
        <v>71.73</v>
      </c>
      <c r="I81" s="2"/>
      <c r="J81" s="8">
        <f t="shared" si="24"/>
        <v>2.4883697421177522E-4</v>
      </c>
      <c r="K81" s="2"/>
      <c r="L81" s="7">
        <f t="shared" si="25"/>
        <v>83.14</v>
      </c>
      <c r="M81" s="2"/>
      <c r="N81" s="8">
        <f t="shared" si="26"/>
        <v>1.1590687299595706</v>
      </c>
      <c r="O81" s="11"/>
      <c r="P81" s="7">
        <v>277.36</v>
      </c>
      <c r="Q81" s="2"/>
      <c r="R81" s="8">
        <f t="shared" si="27"/>
        <v>5.337223589989466E-4</v>
      </c>
      <c r="S81" s="2"/>
      <c r="T81" s="7">
        <v>115.48</v>
      </c>
      <c r="U81" s="2"/>
      <c r="V81" s="8">
        <f t="shared" si="28"/>
        <v>2.6476396721062881E-4</v>
      </c>
      <c r="W81" s="2"/>
      <c r="X81" s="7">
        <f t="shared" si="29"/>
        <v>161.88</v>
      </c>
      <c r="Y81" s="2"/>
      <c r="Z81" s="8">
        <f t="shared" si="30"/>
        <v>1.401801177693107</v>
      </c>
    </row>
    <row r="82" spans="1:26" s="24" customFormat="1" hidden="1" outlineLevel="2" x14ac:dyDescent="0.3">
      <c r="A82" s="27"/>
      <c r="B82" s="11" t="str">
        <f>CONCATENATE("          ", "6115", " - ", "P.E.R.S.")</f>
        <v xml:space="preserve">          6115 - P.E.R.S.</v>
      </c>
      <c r="C82" s="11"/>
      <c r="D82" s="7">
        <v>1490.59</v>
      </c>
      <c r="E82" s="2"/>
      <c r="F82" s="8">
        <f t="shared" si="23"/>
        <v>3.7676344281191263E-3</v>
      </c>
      <c r="G82" s="2"/>
      <c r="H82" s="7">
        <v>1527.17</v>
      </c>
      <c r="I82" s="2"/>
      <c r="J82" s="8">
        <f t="shared" si="24"/>
        <v>5.2978720466610443E-3</v>
      </c>
      <c r="K82" s="2"/>
      <c r="L82" s="7">
        <f t="shared" si="25"/>
        <v>-36.580000000000155</v>
      </c>
      <c r="M82" s="2"/>
      <c r="N82" s="8">
        <f t="shared" si="26"/>
        <v>-2.395280158724972E-2</v>
      </c>
      <c r="O82" s="11"/>
      <c r="P82" s="7">
        <v>2981.18</v>
      </c>
      <c r="Q82" s="2"/>
      <c r="R82" s="8">
        <f t="shared" si="27"/>
        <v>5.7366686696008057E-3</v>
      </c>
      <c r="S82" s="2"/>
      <c r="T82" s="7">
        <v>3496.36</v>
      </c>
      <c r="U82" s="2"/>
      <c r="V82" s="8">
        <f t="shared" si="28"/>
        <v>8.0161945306248192E-3</v>
      </c>
      <c r="W82" s="2"/>
      <c r="X82" s="7">
        <f t="shared" si="29"/>
        <v>-515.18000000000029</v>
      </c>
      <c r="Y82" s="2"/>
      <c r="Z82" s="8">
        <f t="shared" si="30"/>
        <v>-0.14734752714251401</v>
      </c>
    </row>
    <row r="83" spans="1:26" s="24" customFormat="1" hidden="1" outlineLevel="2" x14ac:dyDescent="0.3">
      <c r="A83" s="27"/>
      <c r="B83" s="11" t="str">
        <f>CONCATENATE("          ", "6118", " - ", "VACATION")</f>
        <v xml:space="preserve">          6118 - VACATION</v>
      </c>
      <c r="C83" s="11"/>
      <c r="D83" s="7">
        <v>1573.42</v>
      </c>
      <c r="E83" s="2"/>
      <c r="F83" s="8">
        <f t="shared" si="23"/>
        <v>3.9769965999310319E-3</v>
      </c>
      <c r="G83" s="2"/>
      <c r="H83" s="7">
        <v>1351.22</v>
      </c>
      <c r="I83" s="2"/>
      <c r="J83" s="8">
        <f t="shared" si="24"/>
        <v>4.6874877498178568E-3</v>
      </c>
      <c r="K83" s="2"/>
      <c r="L83" s="7">
        <f t="shared" si="25"/>
        <v>222.20000000000005</v>
      </c>
      <c r="M83" s="2"/>
      <c r="N83" s="8">
        <f t="shared" si="26"/>
        <v>0.16444398395524049</v>
      </c>
      <c r="O83" s="11"/>
      <c r="P83" s="7">
        <v>3146.84</v>
      </c>
      <c r="Q83" s="2"/>
      <c r="R83" s="8">
        <f t="shared" si="27"/>
        <v>6.0554473182587434E-3</v>
      </c>
      <c r="S83" s="2"/>
      <c r="T83" s="7">
        <v>2573.7399999999998</v>
      </c>
      <c r="U83" s="2"/>
      <c r="V83" s="8">
        <f t="shared" si="28"/>
        <v>5.9008799183294398E-3</v>
      </c>
      <c r="W83" s="2"/>
      <c r="X83" s="7">
        <f t="shared" si="29"/>
        <v>573.10000000000036</v>
      </c>
      <c r="Y83" s="2"/>
      <c r="Z83" s="8">
        <f t="shared" si="30"/>
        <v>0.22267206477732809</v>
      </c>
    </row>
    <row r="84" spans="1:26" s="24" customFormat="1" hidden="1" outlineLevel="2" x14ac:dyDescent="0.3">
      <c r="A84" s="27"/>
      <c r="B84" s="11" t="str">
        <f>CONCATENATE("          ", "6119", " - ", "SICK LEAVE")</f>
        <v xml:space="preserve">          6119 - SICK LEAVE</v>
      </c>
      <c r="C84" s="11"/>
      <c r="D84" s="7">
        <v>1066.4000000000001</v>
      </c>
      <c r="E84" s="2"/>
      <c r="F84" s="8">
        <f t="shared" si="23"/>
        <v>2.6954463361127047E-3</v>
      </c>
      <c r="G84" s="2"/>
      <c r="H84" s="7">
        <v>873.12</v>
      </c>
      <c r="I84" s="2"/>
      <c r="J84" s="8">
        <f t="shared" si="24"/>
        <v>3.0289214962189483E-3</v>
      </c>
      <c r="K84" s="2"/>
      <c r="L84" s="7">
        <f t="shared" si="25"/>
        <v>193.28000000000009</v>
      </c>
      <c r="M84" s="2"/>
      <c r="N84" s="8">
        <f t="shared" si="26"/>
        <v>0.2213670514934947</v>
      </c>
      <c r="O84" s="11"/>
      <c r="P84" s="7">
        <v>2132.8000000000002</v>
      </c>
      <c r="Q84" s="2"/>
      <c r="R84" s="8">
        <f t="shared" si="27"/>
        <v>4.1041355901101579E-3</v>
      </c>
      <c r="S84" s="2"/>
      <c r="T84" s="7">
        <v>1650.3</v>
      </c>
      <c r="U84" s="2"/>
      <c r="V84" s="8">
        <f t="shared" si="28"/>
        <v>3.7836852709360988E-3</v>
      </c>
      <c r="W84" s="2"/>
      <c r="X84" s="7">
        <f t="shared" si="29"/>
        <v>482.50000000000023</v>
      </c>
      <c r="Y84" s="2"/>
      <c r="Z84" s="8">
        <f t="shared" si="30"/>
        <v>0.29237108404532525</v>
      </c>
    </row>
    <row r="85" spans="1:26" s="24" customFormat="1" hidden="1" outlineLevel="2" x14ac:dyDescent="0.3">
      <c r="A85" s="27"/>
      <c r="B85" s="11" t="str">
        <f>CONCATENATE("          ", "6156", " - ", "EMPLOYEE MEALS")</f>
        <v xml:space="preserve">          6156 - EMPLOYEE MEALS</v>
      </c>
      <c r="C85" s="11"/>
      <c r="D85" s="7">
        <v>514.64</v>
      </c>
      <c r="E85" s="2"/>
      <c r="F85" s="8">
        <f t="shared" si="23"/>
        <v>1.3008106736843983E-3</v>
      </c>
      <c r="G85" s="2"/>
      <c r="H85" s="7">
        <v>288.87</v>
      </c>
      <c r="I85" s="2"/>
      <c r="J85" s="8">
        <f t="shared" si="24"/>
        <v>1.0021125991991565E-3</v>
      </c>
      <c r="K85" s="2"/>
      <c r="L85" s="7">
        <f t="shared" si="25"/>
        <v>225.76999999999998</v>
      </c>
      <c r="M85" s="2"/>
      <c r="N85" s="8">
        <f t="shared" si="26"/>
        <v>0.78156264063419523</v>
      </c>
      <c r="O85" s="11"/>
      <c r="P85" s="7">
        <v>803.39</v>
      </c>
      <c r="Q85" s="2"/>
      <c r="R85" s="8">
        <f t="shared" si="27"/>
        <v>1.545959064018473E-3</v>
      </c>
      <c r="S85" s="2"/>
      <c r="T85" s="7">
        <v>570.70000000000005</v>
      </c>
      <c r="U85" s="2"/>
      <c r="V85" s="8">
        <f t="shared" si="28"/>
        <v>1.3084585736673525E-3</v>
      </c>
      <c r="W85" s="2"/>
      <c r="X85" s="7">
        <f t="shared" si="29"/>
        <v>232.68999999999994</v>
      </c>
      <c r="Y85" s="2"/>
      <c r="Z85" s="8">
        <f t="shared" si="30"/>
        <v>0.40772735237427704</v>
      </c>
    </row>
    <row r="86" spans="1:26" s="28" customFormat="1" outlineLevel="1" collapsed="1" x14ac:dyDescent="0.3">
      <c r="A86" s="29"/>
      <c r="B86" s="14" t="str">
        <f>CONCATENATE("     ","*Payroll                                          ")</f>
        <v xml:space="preserve">     *Payroll                                          </v>
      </c>
      <c r="C86" s="14"/>
      <c r="D86" s="1">
        <f>SUM(OSRRefD22_1x_0)</f>
        <v>61015.09</v>
      </c>
      <c r="E86" s="1"/>
      <c r="F86" s="5">
        <f t="shared" ref="F86:F91" si="31">IF(D$12=0,0,D86/D$12)</f>
        <v>0.1542225251201115</v>
      </c>
      <c r="G86" s="1"/>
      <c r="H86" s="1">
        <f>SUM(OSRRefH22_1x_0)</f>
        <v>36584.700000000004</v>
      </c>
      <c r="I86" s="1"/>
      <c r="J86" s="5">
        <f t="shared" ref="J86:J91" si="32">IF(H$12=0,0,H86/H$12)</f>
        <v>0.12691518263551557</v>
      </c>
      <c r="K86" s="1"/>
      <c r="L86" s="1">
        <f t="shared" ref="L86:L91" si="33">+D86-H86</f>
        <v>24430.389999999992</v>
      </c>
      <c r="M86" s="1"/>
      <c r="N86" s="5">
        <f t="shared" ref="N86:N91" si="34">IF(H86=0,0,L86/H86)</f>
        <v>0.66777614685920583</v>
      </c>
      <c r="O86" s="14"/>
      <c r="P86" s="1">
        <f>SUM(OSRRefP22_1x_0)</f>
        <v>113691.73</v>
      </c>
      <c r="Q86" s="1"/>
      <c r="R86" s="5">
        <f t="shared" ref="R86:R91" si="35">IF(P$12=0,0,P86/P$12)</f>
        <v>0.21877638568745061</v>
      </c>
      <c r="S86" s="1"/>
      <c r="T86" s="1">
        <f>SUM(OSRRefT22_1x_0)</f>
        <v>57859.549999999996</v>
      </c>
      <c r="U86" s="1"/>
      <c r="V86" s="5">
        <f t="shared" ref="V86:V91" si="36">IF(T$12=0,0,T86/T$12)</f>
        <v>0.13265607896624296</v>
      </c>
      <c r="W86" s="1"/>
      <c r="X86" s="1">
        <f t="shared" ref="X86:X91" si="37">+P86-T86</f>
        <v>55832.18</v>
      </c>
      <c r="Y86" s="1"/>
      <c r="Z86" s="5">
        <f t="shared" ref="Z86:Z91" si="38">IF(T86=0,0,X86/T86)</f>
        <v>0.96496049485348578</v>
      </c>
    </row>
    <row r="87" spans="1:26" s="24" customFormat="1" hidden="1" outlineLevel="2" x14ac:dyDescent="0.3">
      <c r="A87" s="27"/>
      <c r="B87" s="11" t="str">
        <f>CONCATENATE("          ", "6002", " - ", "STAFF SALARIES")</f>
        <v xml:space="preserve">          6002 - STAFF SALARIES</v>
      </c>
      <c r="C87" s="11"/>
      <c r="D87" s="7">
        <v>15956.48</v>
      </c>
      <c r="E87" s="2"/>
      <c r="F87" s="8">
        <f t="shared" si="31"/>
        <v>4.0331803782122699E-2</v>
      </c>
      <c r="G87" s="2"/>
      <c r="H87" s="7">
        <v>13398.32</v>
      </c>
      <c r="I87" s="2"/>
      <c r="J87" s="8">
        <f t="shared" si="32"/>
        <v>4.6479818880818508E-2</v>
      </c>
      <c r="K87" s="2"/>
      <c r="L87" s="7">
        <f t="shared" si="33"/>
        <v>2558.16</v>
      </c>
      <c r="M87" s="2"/>
      <c r="N87" s="8">
        <f t="shared" si="34"/>
        <v>0.19093140035467132</v>
      </c>
      <c r="O87" s="11"/>
      <c r="P87" s="7">
        <v>31676.7</v>
      </c>
      <c r="Q87" s="2"/>
      <c r="R87" s="8">
        <f t="shared" si="35"/>
        <v>6.0955303754333473E-2</v>
      </c>
      <c r="S87" s="2"/>
      <c r="T87" s="7">
        <v>29633.1</v>
      </c>
      <c r="U87" s="2"/>
      <c r="V87" s="8">
        <f t="shared" si="36"/>
        <v>6.7940570806626979E-2</v>
      </c>
      <c r="W87" s="2"/>
      <c r="X87" s="7">
        <f t="shared" si="37"/>
        <v>2043.6000000000022</v>
      </c>
      <c r="Y87" s="2"/>
      <c r="Z87" s="8">
        <f t="shared" si="38"/>
        <v>6.8963422659121129E-2</v>
      </c>
    </row>
    <row r="88" spans="1:26" s="24" customFormat="1" hidden="1" outlineLevel="2" x14ac:dyDescent="0.3">
      <c r="A88" s="27"/>
      <c r="B88" s="11" t="str">
        <f>CONCATENATE("          ", "6004", " - ", "STAFF HOURLY")</f>
        <v xml:space="preserve">          6004 - STAFF HOURLY</v>
      </c>
      <c r="C88" s="11"/>
      <c r="D88" s="7">
        <v>8099.25</v>
      </c>
      <c r="E88" s="2"/>
      <c r="F88" s="8">
        <f t="shared" si="31"/>
        <v>2.0471768321231081E-2</v>
      </c>
      <c r="G88" s="2"/>
      <c r="H88" s="7">
        <v>10122.790000000001</v>
      </c>
      <c r="I88" s="2"/>
      <c r="J88" s="8">
        <f t="shared" si="32"/>
        <v>3.5116749396085542E-2</v>
      </c>
      <c r="K88" s="2"/>
      <c r="L88" s="7">
        <f t="shared" si="33"/>
        <v>-2023.5400000000009</v>
      </c>
      <c r="M88" s="2"/>
      <c r="N88" s="8">
        <f t="shared" si="34"/>
        <v>-0.19989943483960457</v>
      </c>
      <c r="O88" s="11"/>
      <c r="P88" s="7">
        <v>16213.73</v>
      </c>
      <c r="Q88" s="2"/>
      <c r="R88" s="8">
        <f t="shared" si="35"/>
        <v>3.1199993595947467E-2</v>
      </c>
      <c r="S88" s="2"/>
      <c r="T88" s="7">
        <v>14112.04</v>
      </c>
      <c r="U88" s="2"/>
      <c r="V88" s="8">
        <f t="shared" si="36"/>
        <v>3.2355037199818866E-2</v>
      </c>
      <c r="W88" s="2"/>
      <c r="X88" s="7">
        <f t="shared" si="37"/>
        <v>2101.6899999999987</v>
      </c>
      <c r="Y88" s="2"/>
      <c r="Z88" s="8">
        <f t="shared" si="38"/>
        <v>0.14892885791140037</v>
      </c>
    </row>
    <row r="89" spans="1:26" s="24" customFormat="1" hidden="1" outlineLevel="2" x14ac:dyDescent="0.3">
      <c r="A89" s="27"/>
      <c r="B89" s="11" t="str">
        <f>CONCATENATE("          ", "6005", " - ", "TEMPORARY WAGES-HOURLY")</f>
        <v xml:space="preserve">          6005 - TEMPORARY WAGES-HOURLY</v>
      </c>
      <c r="C89" s="11"/>
      <c r="D89" s="7">
        <v>2931.82</v>
      </c>
      <c r="E89" s="2"/>
      <c r="F89" s="8">
        <f t="shared" si="31"/>
        <v>7.4105058862921512E-3</v>
      </c>
      <c r="G89" s="2"/>
      <c r="H89" s="7">
        <v>3399.25</v>
      </c>
      <c r="I89" s="2"/>
      <c r="J89" s="8">
        <f t="shared" si="32"/>
        <v>1.179226383088494E-2</v>
      </c>
      <c r="K89" s="2"/>
      <c r="L89" s="7">
        <f t="shared" si="33"/>
        <v>-467.42999999999984</v>
      </c>
      <c r="M89" s="2"/>
      <c r="N89" s="8">
        <f t="shared" si="34"/>
        <v>-0.13750974479664627</v>
      </c>
      <c r="O89" s="11"/>
      <c r="P89" s="7">
        <v>4946.38</v>
      </c>
      <c r="Q89" s="2"/>
      <c r="R89" s="8">
        <f t="shared" si="35"/>
        <v>9.5182924794678745E-3</v>
      </c>
      <c r="S89" s="2"/>
      <c r="T89" s="7">
        <v>4126.07</v>
      </c>
      <c r="U89" s="2"/>
      <c r="V89" s="8">
        <f t="shared" si="36"/>
        <v>9.4599468495735976E-3</v>
      </c>
      <c r="W89" s="2"/>
      <c r="X89" s="7">
        <f t="shared" si="37"/>
        <v>820.3100000000004</v>
      </c>
      <c r="Y89" s="2"/>
      <c r="Z89" s="8">
        <f t="shared" si="38"/>
        <v>0.19881145981527226</v>
      </c>
    </row>
    <row r="90" spans="1:26" s="24" customFormat="1" hidden="1" outlineLevel="2" x14ac:dyDescent="0.3">
      <c r="A90" s="27"/>
      <c r="B90" s="11" t="str">
        <f>CONCATENATE("          ", "6007", " - ", "STUDENT HOURLY")</f>
        <v xml:space="preserve">          6007 - STUDENT HOURLY</v>
      </c>
      <c r="C90" s="11"/>
      <c r="D90" s="7">
        <v>24856.84</v>
      </c>
      <c r="E90" s="2"/>
      <c r="F90" s="8">
        <f t="shared" si="31"/>
        <v>6.2828468028263057E-2</v>
      </c>
      <c r="G90" s="2"/>
      <c r="H90" s="7">
        <v>9325.2999999999993</v>
      </c>
      <c r="I90" s="2"/>
      <c r="J90" s="8">
        <f t="shared" si="32"/>
        <v>3.2350194278782475E-2</v>
      </c>
      <c r="K90" s="2"/>
      <c r="L90" s="7">
        <f t="shared" si="33"/>
        <v>15531.54</v>
      </c>
      <c r="M90" s="2"/>
      <c r="N90" s="8">
        <f t="shared" si="34"/>
        <v>1.6655271144091881</v>
      </c>
      <c r="O90" s="11"/>
      <c r="P90" s="7">
        <v>44159.78</v>
      </c>
      <c r="Q90" s="2"/>
      <c r="R90" s="8">
        <f t="shared" si="35"/>
        <v>8.497642758319332E-2</v>
      </c>
      <c r="S90" s="2"/>
      <c r="T90" s="7">
        <v>9649.2999999999993</v>
      </c>
      <c r="U90" s="2"/>
      <c r="V90" s="8">
        <f t="shared" si="36"/>
        <v>2.2123198378987879E-2</v>
      </c>
      <c r="W90" s="2"/>
      <c r="X90" s="7">
        <f t="shared" si="37"/>
        <v>34510.479999999996</v>
      </c>
      <c r="Y90" s="2"/>
      <c r="Z90" s="8">
        <f t="shared" si="38"/>
        <v>3.5764749774595046</v>
      </c>
    </row>
    <row r="91" spans="1:26" s="24" customFormat="1" hidden="1" outlineLevel="2" x14ac:dyDescent="0.3">
      <c r="A91" s="27"/>
      <c r="B91" s="11" t="str">
        <f>CONCATENATE("          ", "6008", " - ", "STUDENT HOURLY-FICA EXEMPT")</f>
        <v xml:space="preserve">          6008 - STUDENT HOURLY-FICA EXEMPT</v>
      </c>
      <c r="C91" s="11"/>
      <c r="D91" s="7">
        <v>9170.7000000000007</v>
      </c>
      <c r="E91" s="2"/>
      <c r="F91" s="8">
        <f t="shared" si="31"/>
        <v>2.3179979102202534E-2</v>
      </c>
      <c r="G91" s="2"/>
      <c r="H91" s="7">
        <v>339.04</v>
      </c>
      <c r="I91" s="2"/>
      <c r="J91" s="8">
        <f t="shared" si="32"/>
        <v>1.1761562489440995E-3</v>
      </c>
      <c r="K91" s="2"/>
      <c r="L91" s="7">
        <f t="shared" si="33"/>
        <v>8831.66</v>
      </c>
      <c r="M91" s="2"/>
      <c r="N91" s="8">
        <f t="shared" si="34"/>
        <v>26.04902076451156</v>
      </c>
      <c r="O91" s="11"/>
      <c r="P91" s="7">
        <v>16695.14</v>
      </c>
      <c r="Q91" s="2"/>
      <c r="R91" s="8">
        <f t="shared" si="35"/>
        <v>3.2126368274508481E-2</v>
      </c>
      <c r="S91" s="2"/>
      <c r="T91" s="7">
        <v>339.04</v>
      </c>
      <c r="U91" s="2"/>
      <c r="V91" s="8">
        <f t="shared" si="36"/>
        <v>7.7732573123563903E-4</v>
      </c>
      <c r="W91" s="2"/>
      <c r="X91" s="7">
        <f t="shared" si="37"/>
        <v>16356.099999999999</v>
      </c>
      <c r="Y91" s="2"/>
      <c r="Z91" s="8">
        <f t="shared" si="38"/>
        <v>48.242390278433213</v>
      </c>
    </row>
    <row r="92" spans="1:26" s="28" customFormat="1" outlineLevel="1" collapsed="1" x14ac:dyDescent="0.3">
      <c r="A92" s="29"/>
      <c r="B92" s="14" t="str">
        <f>CONCATENATE("     ","Advertising/Promo                                 ")</f>
        <v xml:space="preserve">     Advertising/Promo                                 </v>
      </c>
      <c r="C92" s="14"/>
      <c r="D92" s="1">
        <f>SUM(OSRRefD22_2x_0)</f>
        <v>1068.1199999999999</v>
      </c>
      <c r="E92" s="1"/>
      <c r="F92" s="5">
        <f t="shared" ref="F92:F96" si="39">IF(D$12=0,0,D92/D$12)</f>
        <v>2.6997938302032089E-3</v>
      </c>
      <c r="G92" s="1"/>
      <c r="H92" s="1">
        <f>SUM(OSRRefH22_2x_0)</f>
        <v>9301.39</v>
      </c>
      <c r="I92" s="1"/>
      <c r="J92" s="5">
        <f t="shared" ref="J92:J96" si="40">IF(H$12=0,0,H92/H$12)</f>
        <v>3.2267248620711883E-2</v>
      </c>
      <c r="K92" s="1"/>
      <c r="L92" s="1">
        <f t="shared" ref="L92:L96" si="41">+D92-H92</f>
        <v>-8233.27</v>
      </c>
      <c r="M92" s="1"/>
      <c r="N92" s="5">
        <f t="shared" ref="N92:N96" si="42">IF(H92=0,0,L92/H92)</f>
        <v>-0.88516555052524415</v>
      </c>
      <c r="O92" s="14"/>
      <c r="P92" s="1">
        <f>SUM(OSRRefP22_2x_0)</f>
        <v>1266.75</v>
      </c>
      <c r="Q92" s="1"/>
      <c r="R92" s="5">
        <f t="shared" ref="R92:R96" si="43">IF(P$12=0,0,P92/P$12)</f>
        <v>2.4376002244805147E-3</v>
      </c>
      <c r="S92" s="1"/>
      <c r="T92" s="1">
        <f>SUM(OSRRefT22_2x_0)</f>
        <v>10642.32</v>
      </c>
      <c r="U92" s="1"/>
      <c r="V92" s="5">
        <f t="shared" ref="V92:V96" si="44">IF(T$12=0,0,T92/T$12)</f>
        <v>2.4399920882620531E-2</v>
      </c>
      <c r="W92" s="1"/>
      <c r="X92" s="1">
        <f t="shared" ref="X92:X96" si="45">+P92-T92</f>
        <v>-9375.57</v>
      </c>
      <c r="Y92" s="1"/>
      <c r="Z92" s="5">
        <f t="shared" ref="Z92:Z96" si="46">IF(T92=0,0,X92/T92)</f>
        <v>-0.88097050267234966</v>
      </c>
    </row>
    <row r="93" spans="1:26" s="24" customFormat="1" hidden="1" outlineLevel="2" x14ac:dyDescent="0.3">
      <c r="A93" s="27"/>
      <c r="B93" s="11" t="str">
        <f>CONCATENATE("          ", "6362", " - ", "ADVERTISING EXPENSE")</f>
        <v xml:space="preserve">          6362 - ADVERTISING EXPENSE</v>
      </c>
      <c r="C93" s="11"/>
      <c r="D93" s="7">
        <v>1068.1199999999999</v>
      </c>
      <c r="E93" s="2"/>
      <c r="F93" s="8">
        <f t="shared" si="39"/>
        <v>2.6997938302032089E-3</v>
      </c>
      <c r="G93" s="2"/>
      <c r="H93" s="7">
        <v>9301.39</v>
      </c>
      <c r="I93" s="2"/>
      <c r="J93" s="8">
        <f t="shared" si="40"/>
        <v>3.2267248620711883E-2</v>
      </c>
      <c r="K93" s="2"/>
      <c r="L93" s="7">
        <f t="shared" si="41"/>
        <v>-8233.27</v>
      </c>
      <c r="M93" s="2"/>
      <c r="N93" s="8">
        <f t="shared" si="42"/>
        <v>-0.88516555052524415</v>
      </c>
      <c r="O93" s="11"/>
      <c r="P93" s="7">
        <v>1266.75</v>
      </c>
      <c r="Q93" s="2"/>
      <c r="R93" s="8">
        <f t="shared" si="43"/>
        <v>2.4376002244805147E-3</v>
      </c>
      <c r="S93" s="2"/>
      <c r="T93" s="7">
        <v>10642.32</v>
      </c>
      <c r="U93" s="2"/>
      <c r="V93" s="8">
        <f t="shared" si="44"/>
        <v>2.4399920882620531E-2</v>
      </c>
      <c r="W93" s="2"/>
      <c r="X93" s="7">
        <f t="shared" si="45"/>
        <v>-9375.57</v>
      </c>
      <c r="Y93" s="2"/>
      <c r="Z93" s="8">
        <f t="shared" si="46"/>
        <v>-0.88097050267234966</v>
      </c>
    </row>
    <row r="94" spans="1:26" s="28" customFormat="1" outlineLevel="1" collapsed="1" x14ac:dyDescent="0.3">
      <c r="A94" s="29"/>
      <c r="B94" s="14" t="str">
        <f>CONCATENATE("     ","Discounts and Markdowns                           ")</f>
        <v xml:space="preserve">     Discounts and Markdowns                           </v>
      </c>
      <c r="C94" s="14"/>
      <c r="D94" s="1">
        <f>SUM(OSRRefD22_3x_0)</f>
        <v>-66.11</v>
      </c>
      <c r="E94" s="1"/>
      <c r="F94" s="5">
        <f t="shared" si="39"/>
        <v>-1.6710048507165314E-4</v>
      </c>
      <c r="G94" s="1"/>
      <c r="H94" s="1">
        <f>SUM(OSRRefH22_3x_0)</f>
        <v>0</v>
      </c>
      <c r="I94" s="1"/>
      <c r="J94" s="5">
        <f t="shared" si="40"/>
        <v>0</v>
      </c>
      <c r="K94" s="1"/>
      <c r="L94" s="1">
        <f t="shared" si="41"/>
        <v>-66.11</v>
      </c>
      <c r="M94" s="1"/>
      <c r="N94" s="5">
        <f t="shared" si="42"/>
        <v>0</v>
      </c>
      <c r="O94" s="14"/>
      <c r="P94" s="1">
        <f>SUM(OSRRefP22_3x_0)</f>
        <v>-66.11</v>
      </c>
      <c r="Q94" s="1"/>
      <c r="R94" s="5">
        <f t="shared" si="43"/>
        <v>-1.2721511808992054E-4</v>
      </c>
      <c r="S94" s="1"/>
      <c r="T94" s="1">
        <f>SUM(OSRRefT22_3x_0)</f>
        <v>0</v>
      </c>
      <c r="U94" s="1"/>
      <c r="V94" s="5">
        <f t="shared" si="44"/>
        <v>0</v>
      </c>
      <c r="W94" s="1"/>
      <c r="X94" s="1">
        <f t="shared" si="45"/>
        <v>-66.11</v>
      </c>
      <c r="Y94" s="1"/>
      <c r="Z94" s="5">
        <f t="shared" si="46"/>
        <v>0</v>
      </c>
    </row>
    <row r="95" spans="1:26" s="24" customFormat="1" hidden="1" outlineLevel="2" x14ac:dyDescent="0.3">
      <c r="A95" s="27"/>
      <c r="B95" s="11" t="str">
        <f>CONCATENATE("          ", "6382", " - ", "DISCOUNTS/MARK DOWNS")</f>
        <v xml:space="preserve">          6382 - DISCOUNTS/MARK DOWNS</v>
      </c>
      <c r="C95" s="11"/>
      <c r="D95" s="7"/>
      <c r="E95" s="2"/>
      <c r="F95" s="8">
        <f t="shared" si="39"/>
        <v>0</v>
      </c>
      <c r="G95" s="2"/>
      <c r="H95" s="7">
        <v>0</v>
      </c>
      <c r="I95" s="2"/>
      <c r="J95" s="8">
        <f t="shared" si="40"/>
        <v>0</v>
      </c>
      <c r="K95" s="2"/>
      <c r="L95" s="7">
        <f t="shared" si="41"/>
        <v>0</v>
      </c>
      <c r="M95" s="2"/>
      <c r="N95" s="8">
        <f t="shared" si="42"/>
        <v>0</v>
      </c>
      <c r="O95" s="11"/>
      <c r="P95" s="7"/>
      <c r="Q95" s="2"/>
      <c r="R95" s="8">
        <f t="shared" si="43"/>
        <v>0</v>
      </c>
      <c r="S95" s="2"/>
      <c r="T95" s="7">
        <v>0</v>
      </c>
      <c r="U95" s="2"/>
      <c r="V95" s="8">
        <f t="shared" si="44"/>
        <v>0</v>
      </c>
      <c r="W95" s="2"/>
      <c r="X95" s="7">
        <f t="shared" si="45"/>
        <v>0</v>
      </c>
      <c r="Y95" s="2"/>
      <c r="Z95" s="8">
        <f t="shared" si="46"/>
        <v>0</v>
      </c>
    </row>
    <row r="96" spans="1:26" s="24" customFormat="1" hidden="1" outlineLevel="2" x14ac:dyDescent="0.3">
      <c r="A96" s="27"/>
      <c r="B96" s="11" t="str">
        <f>CONCATENATE("          ", "9175", " - ", "EARNED DISCOUNTS")</f>
        <v xml:space="preserve">          9175 - EARNED DISCOUNTS</v>
      </c>
      <c r="C96" s="11"/>
      <c r="D96" s="7">
        <v>-66.11</v>
      </c>
      <c r="E96" s="2"/>
      <c r="F96" s="8">
        <f t="shared" si="39"/>
        <v>-1.6710048507165314E-4</v>
      </c>
      <c r="G96" s="2"/>
      <c r="H96" s="7"/>
      <c r="I96" s="2"/>
      <c r="J96" s="8">
        <f t="shared" si="40"/>
        <v>0</v>
      </c>
      <c r="K96" s="2"/>
      <c r="L96" s="7">
        <f t="shared" si="41"/>
        <v>-66.11</v>
      </c>
      <c r="M96" s="2"/>
      <c r="N96" s="8">
        <f t="shared" si="42"/>
        <v>0</v>
      </c>
      <c r="O96" s="11"/>
      <c r="P96" s="7">
        <v>-66.11</v>
      </c>
      <c r="Q96" s="2"/>
      <c r="R96" s="8">
        <f t="shared" si="43"/>
        <v>-1.2721511808992054E-4</v>
      </c>
      <c r="S96" s="2"/>
      <c r="T96" s="7"/>
      <c r="U96" s="2"/>
      <c r="V96" s="8">
        <f t="shared" si="44"/>
        <v>0</v>
      </c>
      <c r="W96" s="2"/>
      <c r="X96" s="7">
        <f t="shared" si="45"/>
        <v>-66.11</v>
      </c>
      <c r="Y96" s="2"/>
      <c r="Z96" s="8">
        <f t="shared" si="46"/>
        <v>0</v>
      </c>
    </row>
    <row r="97" spans="1:26" s="28" customFormat="1" outlineLevel="1" collapsed="1" x14ac:dyDescent="0.3">
      <c r="A97" s="29"/>
      <c r="B97" s="14" t="str">
        <f>CONCATENATE("     ","Employees' Appreciation                           ")</f>
        <v xml:space="preserve">     Employees' Appreciation                           </v>
      </c>
      <c r="C97" s="14"/>
      <c r="D97" s="1">
        <f>SUM(OSRRefD22_4x_0)</f>
        <v>0</v>
      </c>
      <c r="E97" s="1"/>
      <c r="F97" s="5">
        <f t="shared" ref="F97:F101" si="47">IF(D$12=0,0,D97/D$12)</f>
        <v>0</v>
      </c>
      <c r="G97" s="1"/>
      <c r="H97" s="1">
        <f>SUM(OSRRefH22_4x_0)</f>
        <v>0</v>
      </c>
      <c r="I97" s="1"/>
      <c r="J97" s="5">
        <f t="shared" ref="J97:J101" si="48">IF(H$12=0,0,H97/H$12)</f>
        <v>0</v>
      </c>
      <c r="K97" s="1"/>
      <c r="L97" s="1">
        <f t="shared" ref="L97:L101" si="49">+D97-H97</f>
        <v>0</v>
      </c>
      <c r="M97" s="1"/>
      <c r="N97" s="5">
        <f t="shared" ref="N97:N101" si="50">IF(H97=0,0,L97/H97)</f>
        <v>0</v>
      </c>
      <c r="O97" s="14"/>
      <c r="P97" s="1">
        <f>SUM(OSRRefP22_4x_0)</f>
        <v>216.44</v>
      </c>
      <c r="Q97" s="1"/>
      <c r="R97" s="5">
        <f t="shared" ref="R97:R101" si="51">IF(P$12=0,0,P97/P$12)</f>
        <v>4.1649433004662534E-4</v>
      </c>
      <c r="S97" s="1"/>
      <c r="T97" s="1">
        <f>SUM(OSRRefT22_4x_0)</f>
        <v>0</v>
      </c>
      <c r="U97" s="1"/>
      <c r="V97" s="5">
        <f t="shared" ref="V97:V101" si="52">IF(T$12=0,0,T97/T$12)</f>
        <v>0</v>
      </c>
      <c r="W97" s="1"/>
      <c r="X97" s="1">
        <f t="shared" ref="X97:X101" si="53">+P97-T97</f>
        <v>216.44</v>
      </c>
      <c r="Y97" s="1"/>
      <c r="Z97" s="5">
        <f t="shared" ref="Z97:Z101" si="54">IF(T97=0,0,X97/T97)</f>
        <v>0</v>
      </c>
    </row>
    <row r="98" spans="1:26" s="24" customFormat="1" hidden="1" outlineLevel="2" x14ac:dyDescent="0.3">
      <c r="A98" s="27"/>
      <c r="B98" s="11" t="str">
        <f>CONCATENATE("          ", "6277", " - ", "EMPLOYEE APPRECIATION")</f>
        <v xml:space="preserve">          6277 - EMPLOYEE APPRECIATION</v>
      </c>
      <c r="C98" s="11"/>
      <c r="D98" s="7"/>
      <c r="E98" s="2"/>
      <c r="F98" s="8">
        <f t="shared" si="47"/>
        <v>0</v>
      </c>
      <c r="G98" s="2"/>
      <c r="H98" s="7"/>
      <c r="I98" s="2"/>
      <c r="J98" s="8">
        <f t="shared" si="48"/>
        <v>0</v>
      </c>
      <c r="K98" s="2"/>
      <c r="L98" s="7">
        <f t="shared" si="49"/>
        <v>0</v>
      </c>
      <c r="M98" s="2"/>
      <c r="N98" s="8">
        <f t="shared" si="50"/>
        <v>0</v>
      </c>
      <c r="O98" s="11"/>
      <c r="P98" s="7">
        <v>216.44</v>
      </c>
      <c r="Q98" s="2"/>
      <c r="R98" s="8">
        <f t="shared" si="51"/>
        <v>4.1649433004662534E-4</v>
      </c>
      <c r="S98" s="2"/>
      <c r="T98" s="7"/>
      <c r="U98" s="2"/>
      <c r="V98" s="8">
        <f t="shared" si="52"/>
        <v>0</v>
      </c>
      <c r="W98" s="2"/>
      <c r="X98" s="7">
        <f t="shared" si="53"/>
        <v>216.44</v>
      </c>
      <c r="Y98" s="2"/>
      <c r="Z98" s="8">
        <f t="shared" si="54"/>
        <v>0</v>
      </c>
    </row>
    <row r="99" spans="1:26" s="28" customFormat="1" outlineLevel="1" collapsed="1" x14ac:dyDescent="0.3">
      <c r="A99" s="29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SUM(OSRRefD22_5x_0)</f>
        <v>16.16</v>
      </c>
      <c r="E99" s="1"/>
      <c r="F99" s="5">
        <f t="shared" si="47"/>
        <v>4.0846223547994475E-5</v>
      </c>
      <c r="G99" s="1"/>
      <c r="H99" s="1">
        <f>SUM(OSRRefH22_5x_0)</f>
        <v>34.06</v>
      </c>
      <c r="I99" s="1"/>
      <c r="J99" s="5">
        <f t="shared" si="48"/>
        <v>1.1815680108257442E-4</v>
      </c>
      <c r="K99" s="1"/>
      <c r="L99" s="1">
        <f t="shared" si="49"/>
        <v>-17.900000000000002</v>
      </c>
      <c r="M99" s="1"/>
      <c r="N99" s="5">
        <f t="shared" si="50"/>
        <v>-0.5255431591309454</v>
      </c>
      <c r="O99" s="14"/>
      <c r="P99" s="1">
        <f>SUM(OSRRefP22_5x_0)</f>
        <v>873.29</v>
      </c>
      <c r="Q99" s="1"/>
      <c r="R99" s="5">
        <f t="shared" si="51"/>
        <v>1.6804672587618619E-3</v>
      </c>
      <c r="S99" s="1"/>
      <c r="T99" s="1">
        <f>SUM(OSRRefT22_5x_0)</f>
        <v>50.45</v>
      </c>
      <c r="U99" s="1"/>
      <c r="V99" s="5">
        <f t="shared" si="52"/>
        <v>1.1566801303928146E-4</v>
      </c>
      <c r="W99" s="1"/>
      <c r="X99" s="1">
        <f t="shared" si="53"/>
        <v>822.83999999999992</v>
      </c>
      <c r="Y99" s="1"/>
      <c r="Z99" s="5">
        <f t="shared" si="54"/>
        <v>16.310009910802773</v>
      </c>
    </row>
    <row r="100" spans="1:26" s="24" customFormat="1" hidden="1" outlineLevel="2" x14ac:dyDescent="0.3">
      <c r="A100" s="27"/>
      <c r="B100" s="11" t="str">
        <f>CONCATENATE("          ", "6305", " - ", "FREIGHT OUT")</f>
        <v xml:space="preserve">          6305 - FREIGHT OUT</v>
      </c>
      <c r="C100" s="11"/>
      <c r="D100" s="7">
        <v>16.16</v>
      </c>
      <c r="E100" s="2"/>
      <c r="F100" s="8">
        <f t="shared" si="47"/>
        <v>4.0846223547994475E-5</v>
      </c>
      <c r="G100" s="2"/>
      <c r="H100" s="7">
        <v>34.06</v>
      </c>
      <c r="I100" s="2"/>
      <c r="J100" s="8">
        <f t="shared" si="48"/>
        <v>1.1815680108257442E-4</v>
      </c>
      <c r="K100" s="2"/>
      <c r="L100" s="7">
        <f t="shared" si="49"/>
        <v>-17.900000000000002</v>
      </c>
      <c r="M100" s="2"/>
      <c r="N100" s="8">
        <f t="shared" si="50"/>
        <v>-0.5255431591309454</v>
      </c>
      <c r="O100" s="11"/>
      <c r="P100" s="7">
        <v>861.87</v>
      </c>
      <c r="Q100" s="2"/>
      <c r="R100" s="8">
        <f t="shared" si="51"/>
        <v>1.6584918140698807E-3</v>
      </c>
      <c r="S100" s="2"/>
      <c r="T100" s="7">
        <v>50.45</v>
      </c>
      <c r="U100" s="2"/>
      <c r="V100" s="8">
        <f t="shared" si="52"/>
        <v>1.1566801303928146E-4</v>
      </c>
      <c r="W100" s="2"/>
      <c r="X100" s="7">
        <f t="shared" si="53"/>
        <v>811.42</v>
      </c>
      <c r="Y100" s="2"/>
      <c r="Z100" s="8">
        <f t="shared" si="54"/>
        <v>16.083647175421209</v>
      </c>
    </row>
    <row r="101" spans="1:26" s="24" customFormat="1" hidden="1" outlineLevel="2" x14ac:dyDescent="0.3">
      <c r="A101" s="27"/>
      <c r="B101" s="11" t="str">
        <f>CONCATENATE("          ", "6307", " - ", "POSTAGE")</f>
        <v xml:space="preserve">          6307 - POSTAGE</v>
      </c>
      <c r="C101" s="11"/>
      <c r="D101" s="7"/>
      <c r="E101" s="2"/>
      <c r="F101" s="8">
        <f t="shared" si="47"/>
        <v>0</v>
      </c>
      <c r="G101" s="2"/>
      <c r="H101" s="7"/>
      <c r="I101" s="2"/>
      <c r="J101" s="8">
        <f t="shared" si="48"/>
        <v>0</v>
      </c>
      <c r="K101" s="2"/>
      <c r="L101" s="7">
        <f t="shared" si="49"/>
        <v>0</v>
      </c>
      <c r="M101" s="2"/>
      <c r="N101" s="8">
        <f t="shared" si="50"/>
        <v>0</v>
      </c>
      <c r="O101" s="11"/>
      <c r="P101" s="7">
        <v>11.42</v>
      </c>
      <c r="Q101" s="2"/>
      <c r="R101" s="8">
        <f t="shared" si="51"/>
        <v>2.1975444691981432E-5</v>
      </c>
      <c r="S101" s="2"/>
      <c r="T101" s="7"/>
      <c r="U101" s="2"/>
      <c r="V101" s="8">
        <f t="shared" si="52"/>
        <v>0</v>
      </c>
      <c r="W101" s="2"/>
      <c r="X101" s="7">
        <f t="shared" si="53"/>
        <v>11.42</v>
      </c>
      <c r="Y101" s="2"/>
      <c r="Z101" s="8">
        <f t="shared" si="54"/>
        <v>0</v>
      </c>
    </row>
    <row r="102" spans="1:26" s="28" customFormat="1" outlineLevel="1" collapsed="1" x14ac:dyDescent="0.3">
      <c r="A102" s="29"/>
      <c r="B102" s="14" t="str">
        <f>CONCATENATE("     ","Inventory Adjustment                              ")</f>
        <v xml:space="preserve">     Inventory Adjustment                              </v>
      </c>
      <c r="C102" s="14"/>
      <c r="D102" s="1">
        <f>SUM(OSRRefD22_6x_0)</f>
        <v>3350</v>
      </c>
      <c r="E102" s="1"/>
      <c r="F102" s="5">
        <f t="shared" ref="F102:F104" si="55">IF(D$12=0,0,D102/D$12)</f>
        <v>8.4675030251102415E-3</v>
      </c>
      <c r="G102" s="1"/>
      <c r="H102" s="1">
        <f>SUM(OSRRefH22_6x_0)</f>
        <v>1000</v>
      </c>
      <c r="I102" s="1"/>
      <c r="J102" s="5">
        <f t="shared" ref="J102:J104" si="56">IF(H$12=0,0,H102/H$12)</f>
        <v>3.4690781292593779E-3</v>
      </c>
      <c r="K102" s="1"/>
      <c r="L102" s="1">
        <f t="shared" ref="L102:L104" si="57">+D102-H102</f>
        <v>2350</v>
      </c>
      <c r="M102" s="1"/>
      <c r="N102" s="5">
        <f t="shared" ref="N102:N104" si="58">IF(H102=0,0,L102/H102)</f>
        <v>2.35</v>
      </c>
      <c r="O102" s="14"/>
      <c r="P102" s="1">
        <f>SUM(OSRRefP22_6x_0)</f>
        <v>6700</v>
      </c>
      <c r="Q102" s="1"/>
      <c r="R102" s="5">
        <f t="shared" ref="R102:R104" si="59">IF(P$12=0,0,P102/P$12)</f>
        <v>1.2892774031197513E-2</v>
      </c>
      <c r="S102" s="1"/>
      <c r="T102" s="1">
        <f>SUM(OSRRefT22_6x_0)</f>
        <v>2000</v>
      </c>
      <c r="U102" s="1"/>
      <c r="V102" s="5">
        <f t="shared" ref="V102:V104" si="60">IF(T$12=0,0,T102/T$12)</f>
        <v>4.5854514584452513E-3</v>
      </c>
      <c r="W102" s="1"/>
      <c r="X102" s="1">
        <f t="shared" ref="X102:X104" si="61">+P102-T102</f>
        <v>4700</v>
      </c>
      <c r="Y102" s="1"/>
      <c r="Z102" s="5">
        <f t="shared" ref="Z102:Z104" si="62">IF(T102=0,0,X102/T102)</f>
        <v>2.35</v>
      </c>
    </row>
    <row r="103" spans="1:26" s="24" customFormat="1" hidden="1" outlineLevel="2" x14ac:dyDescent="0.3">
      <c r="A103" s="27"/>
      <c r="B103" s="11" t="str">
        <f>CONCATENATE("          ", "6408", " - ", "INVENTORY ADJUSTMENT")</f>
        <v xml:space="preserve">          6408 - INVENTORY ADJUSTMENT</v>
      </c>
      <c r="C103" s="11"/>
      <c r="D103" s="7">
        <v>3350</v>
      </c>
      <c r="E103" s="2"/>
      <c r="F103" s="8">
        <f t="shared" si="55"/>
        <v>8.4675030251102415E-3</v>
      </c>
      <c r="G103" s="2"/>
      <c r="H103" s="7">
        <v>1000</v>
      </c>
      <c r="I103" s="2"/>
      <c r="J103" s="8">
        <f t="shared" si="56"/>
        <v>3.4690781292593779E-3</v>
      </c>
      <c r="K103" s="2"/>
      <c r="L103" s="7">
        <f t="shared" si="57"/>
        <v>2350</v>
      </c>
      <c r="M103" s="2"/>
      <c r="N103" s="8">
        <f t="shared" si="58"/>
        <v>2.35</v>
      </c>
      <c r="O103" s="11"/>
      <c r="P103" s="7">
        <v>6700</v>
      </c>
      <c r="Q103" s="2"/>
      <c r="R103" s="8">
        <f t="shared" si="59"/>
        <v>1.2892774031197513E-2</v>
      </c>
      <c r="S103" s="2"/>
      <c r="T103" s="7">
        <v>2000</v>
      </c>
      <c r="U103" s="2"/>
      <c r="V103" s="8">
        <f t="shared" si="60"/>
        <v>4.5854514584452513E-3</v>
      </c>
      <c r="W103" s="2"/>
      <c r="X103" s="7">
        <f t="shared" si="61"/>
        <v>4700</v>
      </c>
      <c r="Y103" s="2"/>
      <c r="Z103" s="8">
        <f t="shared" si="62"/>
        <v>2.35</v>
      </c>
    </row>
    <row r="104" spans="1:26" s="24" customFormat="1" hidden="1" outlineLevel="2" x14ac:dyDescent="0.3">
      <c r="A104" s="27"/>
      <c r="B104" s="11" t="str">
        <f>CONCATENATE("          ", "7741", " - ", "INV. SHRINKAGE-LOGO GIFTS")</f>
        <v xml:space="preserve">          7741 - INV. SHRINKAGE-LOGO GIFTS</v>
      </c>
      <c r="C104" s="11"/>
      <c r="D104" s="7"/>
      <c r="E104" s="2"/>
      <c r="F104" s="8">
        <f t="shared" si="55"/>
        <v>0</v>
      </c>
      <c r="G104" s="2"/>
      <c r="H104" s="7"/>
      <c r="I104" s="2"/>
      <c r="J104" s="8">
        <f t="shared" si="56"/>
        <v>0</v>
      </c>
      <c r="K104" s="2"/>
      <c r="L104" s="7">
        <f t="shared" si="57"/>
        <v>0</v>
      </c>
      <c r="M104" s="2"/>
      <c r="N104" s="8">
        <f t="shared" si="58"/>
        <v>0</v>
      </c>
      <c r="O104" s="11"/>
      <c r="P104" s="7"/>
      <c r="Q104" s="2"/>
      <c r="R104" s="8">
        <f t="shared" si="59"/>
        <v>0</v>
      </c>
      <c r="S104" s="2"/>
      <c r="T104" s="7">
        <v>0</v>
      </c>
      <c r="U104" s="2"/>
      <c r="V104" s="8">
        <f t="shared" si="60"/>
        <v>0</v>
      </c>
      <c r="W104" s="2"/>
      <c r="X104" s="7">
        <f t="shared" si="61"/>
        <v>0</v>
      </c>
      <c r="Y104" s="2"/>
      <c r="Z104" s="8">
        <f t="shared" si="62"/>
        <v>0</v>
      </c>
    </row>
    <row r="105" spans="1:26" s="28" customFormat="1" outlineLevel="1" collapsed="1" x14ac:dyDescent="0.3">
      <c r="A105" s="29"/>
      <c r="B105" s="14" t="str">
        <f>CONCATENATE("     ","Repair and Maintenance                            ")</f>
        <v xml:space="preserve">     Repair and Maintenance                            </v>
      </c>
      <c r="C105" s="14"/>
      <c r="D105" s="1">
        <f>SUM(OSRRefD22_7x_0)</f>
        <v>9.24</v>
      </c>
      <c r="E105" s="1"/>
      <c r="F105" s="5">
        <f t="shared" ref="F105:F107" si="63">IF(D$12=0,0,D105/D$12)</f>
        <v>2.3355142672244366E-5</v>
      </c>
      <c r="G105" s="1"/>
      <c r="H105" s="1">
        <f>SUM(OSRRefH22_7x_0)</f>
        <v>0</v>
      </c>
      <c r="I105" s="1"/>
      <c r="J105" s="5">
        <f t="shared" ref="J105:J107" si="64">IF(H$12=0,0,H105/H$12)</f>
        <v>0</v>
      </c>
      <c r="K105" s="1"/>
      <c r="L105" s="1">
        <f t="shared" ref="L105:L107" si="65">+D105-H105</f>
        <v>9.24</v>
      </c>
      <c r="M105" s="1"/>
      <c r="N105" s="5">
        <f t="shared" ref="N105:N107" si="66">IF(H105=0,0,L105/H105)</f>
        <v>0</v>
      </c>
      <c r="O105" s="14"/>
      <c r="P105" s="1">
        <f>SUM(OSRRefP22_7x_0)</f>
        <v>9.24</v>
      </c>
      <c r="Q105" s="1"/>
      <c r="R105" s="5">
        <f t="shared" ref="R105:R107" si="67">IF(P$12=0,0,P105/P$12)</f>
        <v>1.7780482395263437E-5</v>
      </c>
      <c r="S105" s="1"/>
      <c r="T105" s="1">
        <f>SUM(OSRRefT22_7x_0)</f>
        <v>0</v>
      </c>
      <c r="U105" s="1"/>
      <c r="V105" s="5">
        <f t="shared" ref="V105:V107" si="68">IF(T$12=0,0,T105/T$12)</f>
        <v>0</v>
      </c>
      <c r="W105" s="1"/>
      <c r="X105" s="1">
        <f t="shared" ref="X105:X107" si="69">+P105-T105</f>
        <v>9.24</v>
      </c>
      <c r="Y105" s="1"/>
      <c r="Z105" s="5">
        <f t="shared" ref="Z105:Z107" si="70">IF(T105=0,0,X105/T105)</f>
        <v>0</v>
      </c>
    </row>
    <row r="106" spans="1:26" s="24" customFormat="1" hidden="1" outlineLevel="2" x14ac:dyDescent="0.3">
      <c r="A106" s="27"/>
      <c r="B106" s="11" t="str">
        <f>CONCATENATE("          ", "6373", " - ", "MAINTENANCE CONTRACTS")</f>
        <v xml:space="preserve">          6373 - MAINTENANCE CONTRACTS</v>
      </c>
      <c r="C106" s="11"/>
      <c r="D106" s="7">
        <v>5.7</v>
      </c>
      <c r="E106" s="2"/>
      <c r="F106" s="8">
        <f t="shared" si="63"/>
        <v>1.4407393206903992E-5</v>
      </c>
      <c r="G106" s="2"/>
      <c r="H106" s="7"/>
      <c r="I106" s="2"/>
      <c r="J106" s="8">
        <f t="shared" si="64"/>
        <v>0</v>
      </c>
      <c r="K106" s="2"/>
      <c r="L106" s="7">
        <f t="shared" si="65"/>
        <v>5.7</v>
      </c>
      <c r="M106" s="2"/>
      <c r="N106" s="8">
        <f t="shared" si="66"/>
        <v>0</v>
      </c>
      <c r="O106" s="11"/>
      <c r="P106" s="7">
        <v>5.7</v>
      </c>
      <c r="Q106" s="2"/>
      <c r="R106" s="8">
        <f t="shared" si="67"/>
        <v>1.0968479399675496E-5</v>
      </c>
      <c r="S106" s="2"/>
      <c r="T106" s="7"/>
      <c r="U106" s="2"/>
      <c r="V106" s="8">
        <f t="shared" si="68"/>
        <v>0</v>
      </c>
      <c r="W106" s="2"/>
      <c r="X106" s="7">
        <f t="shared" si="69"/>
        <v>5.7</v>
      </c>
      <c r="Y106" s="2"/>
      <c r="Z106" s="8">
        <f t="shared" si="70"/>
        <v>0</v>
      </c>
    </row>
    <row r="107" spans="1:26" s="24" customFormat="1" hidden="1" outlineLevel="2" x14ac:dyDescent="0.3">
      <c r="A107" s="27"/>
      <c r="B107" s="11" t="str">
        <f>CONCATENATE("          ", "6375", " - ", "OUTSIDE REPAIRS &amp; MAINTENANCE")</f>
        <v xml:space="preserve">          6375 - OUTSIDE REPAIRS &amp; MAINTENANCE</v>
      </c>
      <c r="C107" s="11"/>
      <c r="D107" s="7">
        <v>3.54</v>
      </c>
      <c r="E107" s="2"/>
      <c r="F107" s="8">
        <f t="shared" si="63"/>
        <v>8.9477494653403735E-6</v>
      </c>
      <c r="G107" s="2"/>
      <c r="H107" s="7"/>
      <c r="I107" s="2"/>
      <c r="J107" s="8">
        <f t="shared" si="64"/>
        <v>0</v>
      </c>
      <c r="K107" s="2"/>
      <c r="L107" s="7">
        <f t="shared" si="65"/>
        <v>3.54</v>
      </c>
      <c r="M107" s="2"/>
      <c r="N107" s="8">
        <f t="shared" si="66"/>
        <v>0</v>
      </c>
      <c r="O107" s="11"/>
      <c r="P107" s="7">
        <v>3.54</v>
      </c>
      <c r="Q107" s="2"/>
      <c r="R107" s="8">
        <f t="shared" si="67"/>
        <v>6.8120029955879393E-6</v>
      </c>
      <c r="S107" s="2"/>
      <c r="T107" s="7"/>
      <c r="U107" s="2"/>
      <c r="V107" s="8">
        <f t="shared" si="68"/>
        <v>0</v>
      </c>
      <c r="W107" s="2"/>
      <c r="X107" s="7">
        <f t="shared" si="69"/>
        <v>3.54</v>
      </c>
      <c r="Y107" s="2"/>
      <c r="Z107" s="8">
        <f t="shared" si="70"/>
        <v>0</v>
      </c>
    </row>
    <row r="108" spans="1:26" s="28" customFormat="1" outlineLevel="1" collapsed="1" x14ac:dyDescent="0.3">
      <c r="A108" s="29"/>
      <c r="B108" s="14" t="str">
        <f>CONCATENATE("     ","Royalty &amp; Commissions                             ")</f>
        <v xml:space="preserve">     Royalty &amp; Commissions                             </v>
      </c>
      <c r="C108" s="14"/>
      <c r="D108" s="1">
        <f>SUM(OSRRefD22_8x_0)</f>
        <v>0</v>
      </c>
      <c r="E108" s="1"/>
      <c r="F108" s="5">
        <f t="shared" ref="F108:F110" si="71">IF(D$12=0,0,D108/D$12)</f>
        <v>0</v>
      </c>
      <c r="G108" s="1"/>
      <c r="H108" s="1">
        <f>SUM(OSRRefH22_8x_0)</f>
        <v>2250</v>
      </c>
      <c r="I108" s="1"/>
      <c r="J108" s="5">
        <f t="shared" ref="J108:J110" si="72">IF(H$12=0,0,H108/H$12)</f>
        <v>7.8054257908336004E-3</v>
      </c>
      <c r="K108" s="1"/>
      <c r="L108" s="1">
        <f t="shared" ref="L108:L110" si="73">+D108-H108</f>
        <v>-2250</v>
      </c>
      <c r="M108" s="1"/>
      <c r="N108" s="5">
        <f t="shared" ref="N108:N110" si="74">IF(H108=0,0,L108/H108)</f>
        <v>-1</v>
      </c>
      <c r="O108" s="14"/>
      <c r="P108" s="1">
        <f>SUM(OSRRefP22_8x_0)</f>
        <v>7349.0400000000009</v>
      </c>
      <c r="Q108" s="1"/>
      <c r="R108" s="5">
        <f t="shared" ref="R108:R110" si="75">IF(P$12=0,0,P108/P$12)</f>
        <v>1.4141718218840565E-2</v>
      </c>
      <c r="S108" s="1"/>
      <c r="T108" s="1">
        <f>SUM(OSRRefT22_8x_0)</f>
        <v>7922.2</v>
      </c>
      <c r="U108" s="1"/>
      <c r="V108" s="5">
        <f t="shared" ref="V108:V110" si="76">IF(T$12=0,0,T108/T$12)</f>
        <v>1.8163431772047482E-2</v>
      </c>
      <c r="W108" s="1"/>
      <c r="X108" s="1">
        <f t="shared" ref="X108:X110" si="77">+P108-T108</f>
        <v>-573.15999999999894</v>
      </c>
      <c r="Y108" s="1"/>
      <c r="Z108" s="5">
        <f t="shared" ref="Z108:Z110" si="78">IF(T108=0,0,X108/T108)</f>
        <v>-7.2348590038120594E-2</v>
      </c>
    </row>
    <row r="109" spans="1:26" s="24" customFormat="1" hidden="1" outlineLevel="2" x14ac:dyDescent="0.3">
      <c r="A109" s="27"/>
      <c r="B109" s="11" t="str">
        <f>CONCATENATE("          ", "6253", " - ", "ROYALTY DUE ATHLETICS-LRG")</f>
        <v xml:space="preserve">          6253 - ROYALTY DUE ATHLETICS-LRG</v>
      </c>
      <c r="C109" s="11"/>
      <c r="D109" s="7"/>
      <c r="E109" s="2"/>
      <c r="F109" s="8">
        <f t="shared" si="71"/>
        <v>0</v>
      </c>
      <c r="G109" s="2"/>
      <c r="H109" s="7">
        <v>2250</v>
      </c>
      <c r="I109" s="2"/>
      <c r="J109" s="8">
        <f t="shared" si="72"/>
        <v>7.8054257908336004E-3</v>
      </c>
      <c r="K109" s="2"/>
      <c r="L109" s="7">
        <f t="shared" si="73"/>
        <v>-2250</v>
      </c>
      <c r="M109" s="2"/>
      <c r="N109" s="8">
        <f t="shared" si="74"/>
        <v>-1</v>
      </c>
      <c r="O109" s="11"/>
      <c r="P109" s="7">
        <v>14376.54</v>
      </c>
      <c r="Q109" s="2"/>
      <c r="R109" s="8">
        <f t="shared" si="75"/>
        <v>2.7664698741861539E-2</v>
      </c>
      <c r="S109" s="2"/>
      <c r="T109" s="7">
        <v>7922.2</v>
      </c>
      <c r="U109" s="2"/>
      <c r="V109" s="8">
        <f t="shared" si="76"/>
        <v>1.8163431772047482E-2</v>
      </c>
      <c r="W109" s="2"/>
      <c r="X109" s="7">
        <f t="shared" si="77"/>
        <v>6454.3400000000011</v>
      </c>
      <c r="Y109" s="2"/>
      <c r="Z109" s="8">
        <f t="shared" si="78"/>
        <v>0.81471560930044695</v>
      </c>
    </row>
    <row r="110" spans="1:26" s="24" customFormat="1" hidden="1" outlineLevel="2" x14ac:dyDescent="0.3">
      <c r="A110" s="27"/>
      <c r="B110" s="11" t="str">
        <f>CONCATENATE("          ", "6254", " - ", "ROYALTY &amp; COMMISSIONS")</f>
        <v xml:space="preserve">          6254 - ROYALTY &amp; COMMISSIONS</v>
      </c>
      <c r="C110" s="11"/>
      <c r="D110" s="7"/>
      <c r="E110" s="2"/>
      <c r="F110" s="8">
        <f t="shared" si="71"/>
        <v>0</v>
      </c>
      <c r="G110" s="2"/>
      <c r="H110" s="7"/>
      <c r="I110" s="2"/>
      <c r="J110" s="8">
        <f t="shared" si="72"/>
        <v>0</v>
      </c>
      <c r="K110" s="2"/>
      <c r="L110" s="7">
        <f t="shared" si="73"/>
        <v>0</v>
      </c>
      <c r="M110" s="2"/>
      <c r="N110" s="8">
        <f t="shared" si="74"/>
        <v>0</v>
      </c>
      <c r="O110" s="11"/>
      <c r="P110" s="7">
        <v>-7027.5</v>
      </c>
      <c r="Q110" s="2"/>
      <c r="R110" s="8">
        <f t="shared" si="75"/>
        <v>-1.3522980523020972E-2</v>
      </c>
      <c r="S110" s="2"/>
      <c r="T110" s="7"/>
      <c r="U110" s="2"/>
      <c r="V110" s="8">
        <f t="shared" si="76"/>
        <v>0</v>
      </c>
      <c r="W110" s="2"/>
      <c r="X110" s="7">
        <f t="shared" si="77"/>
        <v>-7027.5</v>
      </c>
      <c r="Y110" s="2"/>
      <c r="Z110" s="8">
        <f t="shared" si="78"/>
        <v>0</v>
      </c>
    </row>
    <row r="111" spans="1:26" s="28" customFormat="1" outlineLevel="1" collapsed="1" x14ac:dyDescent="0.3">
      <c r="A111" s="29"/>
      <c r="B111" s="14" t="str">
        <f>CONCATENATE("     ","Supplies                                          ")</f>
        <v xml:space="preserve">     Supplies                                          </v>
      </c>
      <c r="C111" s="14"/>
      <c r="D111" s="1">
        <f>SUM(OSRRefD22_9x_0)</f>
        <v>3030.73</v>
      </c>
      <c r="E111" s="1"/>
      <c r="F111" s="5">
        <f t="shared" ref="F111:F114" si="79">IF(D$12=0,0,D111/D$12)</f>
        <v>7.6605120726245847E-3</v>
      </c>
      <c r="G111" s="1"/>
      <c r="H111" s="1">
        <f>SUM(OSRRefH22_9x_0)</f>
        <v>58.15</v>
      </c>
      <c r="I111" s="1"/>
      <c r="J111" s="5">
        <f t="shared" ref="J111:J114" si="80">IF(H$12=0,0,H111/H$12)</f>
        <v>2.0172689321643281E-4</v>
      </c>
      <c r="K111" s="1"/>
      <c r="L111" s="1">
        <f t="shared" ref="L111:L114" si="81">+D111-H111</f>
        <v>2972.58</v>
      </c>
      <c r="M111" s="1"/>
      <c r="N111" s="5">
        <f t="shared" ref="N111:N114" si="82">IF(H111=0,0,L111/H111)</f>
        <v>51.119174548581256</v>
      </c>
      <c r="O111" s="14"/>
      <c r="P111" s="1">
        <f>SUM(OSRRefP22_9x_0)</f>
        <v>5381.74</v>
      </c>
      <c r="Q111" s="1"/>
      <c r="R111" s="5">
        <f t="shared" ref="R111:R114" si="83">IF(P$12=0,0,P111/P$12)</f>
        <v>1.0356053390247298E-2</v>
      </c>
      <c r="S111" s="1"/>
      <c r="T111" s="1">
        <f>SUM(OSRRefT22_9x_0)</f>
        <v>1067.9100000000001</v>
      </c>
      <c r="U111" s="1"/>
      <c r="V111" s="5">
        <f t="shared" ref="V111:V114" si="84">IF(T$12=0,0,T111/T$12)</f>
        <v>2.4484247334941342E-3</v>
      </c>
      <c r="W111" s="1"/>
      <c r="X111" s="1">
        <f t="shared" ref="X111:X114" si="85">+P111-T111</f>
        <v>4313.83</v>
      </c>
      <c r="Y111" s="1"/>
      <c r="Z111" s="5">
        <f t="shared" ref="Z111:Z114" si="86">IF(T111=0,0,X111/T111)</f>
        <v>4.0395070745662087</v>
      </c>
    </row>
    <row r="112" spans="1:26" s="24" customFormat="1" hidden="1" outlineLevel="2" x14ac:dyDescent="0.3">
      <c r="A112" s="27"/>
      <c r="B112" s="11" t="str">
        <f>CONCATENATE("          ", "6235", " - ", "COVID-19 EXPENSES")</f>
        <v xml:space="preserve">          6235 - COVID-19 EXPENSES</v>
      </c>
      <c r="C112" s="11"/>
      <c r="D112" s="7"/>
      <c r="E112" s="2"/>
      <c r="F112" s="8">
        <f t="shared" si="79"/>
        <v>0</v>
      </c>
      <c r="G112" s="2"/>
      <c r="H112" s="7"/>
      <c r="I112" s="2"/>
      <c r="J112" s="8">
        <f t="shared" si="80"/>
        <v>0</v>
      </c>
      <c r="K112" s="2"/>
      <c r="L112" s="7">
        <f t="shared" si="81"/>
        <v>0</v>
      </c>
      <c r="M112" s="2"/>
      <c r="N112" s="8">
        <f t="shared" si="82"/>
        <v>0</v>
      </c>
      <c r="O112" s="11"/>
      <c r="P112" s="7"/>
      <c r="Q112" s="2"/>
      <c r="R112" s="8">
        <f t="shared" si="83"/>
        <v>0</v>
      </c>
      <c r="S112" s="2"/>
      <c r="T112" s="7">
        <v>961.38</v>
      </c>
      <c r="U112" s="2"/>
      <c r="V112" s="8">
        <f t="shared" si="84"/>
        <v>2.2041806615600477E-3</v>
      </c>
      <c r="W112" s="2"/>
      <c r="X112" s="7">
        <f t="shared" si="85"/>
        <v>-961.38</v>
      </c>
      <c r="Y112" s="2"/>
      <c r="Z112" s="8">
        <f t="shared" si="86"/>
        <v>-1</v>
      </c>
    </row>
    <row r="113" spans="1:26" s="24" customFormat="1" hidden="1" outlineLevel="2" x14ac:dyDescent="0.3">
      <c r="A113" s="27"/>
      <c r="B113" s="11" t="str">
        <f>CONCATENATE("          ", "6241", " - ", "OFFICE EXPENSE")</f>
        <v xml:space="preserve">          6241 - OFFICE EXPENSE</v>
      </c>
      <c r="C113" s="11"/>
      <c r="D113" s="7">
        <v>56.1</v>
      </c>
      <c r="E113" s="2"/>
      <c r="F113" s="8">
        <f t="shared" si="79"/>
        <v>1.4179908051005507E-4</v>
      </c>
      <c r="G113" s="2"/>
      <c r="H113" s="7">
        <v>58.15</v>
      </c>
      <c r="I113" s="2"/>
      <c r="J113" s="8">
        <f t="shared" si="80"/>
        <v>2.0172689321643281E-4</v>
      </c>
      <c r="K113" s="2"/>
      <c r="L113" s="7">
        <f t="shared" si="81"/>
        <v>-2.0499999999999972</v>
      </c>
      <c r="M113" s="2"/>
      <c r="N113" s="8">
        <f t="shared" si="82"/>
        <v>-3.5253654342218353E-2</v>
      </c>
      <c r="O113" s="11"/>
      <c r="P113" s="7">
        <v>180.99</v>
      </c>
      <c r="Q113" s="2"/>
      <c r="R113" s="8">
        <f t="shared" si="83"/>
        <v>3.4827808535916986E-4</v>
      </c>
      <c r="S113" s="2"/>
      <c r="T113" s="7">
        <v>106.53</v>
      </c>
      <c r="U113" s="2"/>
      <c r="V113" s="8">
        <f t="shared" si="84"/>
        <v>2.4424407193408631E-4</v>
      </c>
      <c r="W113" s="2"/>
      <c r="X113" s="7">
        <f t="shared" si="85"/>
        <v>74.460000000000008</v>
      </c>
      <c r="Y113" s="2"/>
      <c r="Z113" s="8">
        <f t="shared" si="86"/>
        <v>0.69895803998873562</v>
      </c>
    </row>
    <row r="114" spans="1:26" s="24" customFormat="1" hidden="1" outlineLevel="2" x14ac:dyDescent="0.3">
      <c r="A114" s="27"/>
      <c r="B114" s="11" t="str">
        <f>CONCATENATE("          ", "6247", " - ", "STORE SUPPLIES")</f>
        <v xml:space="preserve">          6247 - STORE SUPPLIES</v>
      </c>
      <c r="C114" s="11"/>
      <c r="D114" s="7">
        <v>2974.63</v>
      </c>
      <c r="E114" s="2"/>
      <c r="F114" s="8">
        <f t="shared" si="79"/>
        <v>7.5187129921145306E-3</v>
      </c>
      <c r="G114" s="2"/>
      <c r="H114" s="7"/>
      <c r="I114" s="2"/>
      <c r="J114" s="8">
        <f t="shared" si="80"/>
        <v>0</v>
      </c>
      <c r="K114" s="2"/>
      <c r="L114" s="7">
        <f t="shared" si="81"/>
        <v>2974.63</v>
      </c>
      <c r="M114" s="2"/>
      <c r="N114" s="8">
        <f t="shared" si="82"/>
        <v>0</v>
      </c>
      <c r="O114" s="11"/>
      <c r="P114" s="7">
        <v>5200.75</v>
      </c>
      <c r="Q114" s="2"/>
      <c r="R114" s="8">
        <f t="shared" si="83"/>
        <v>1.0007775304888129E-2</v>
      </c>
      <c r="S114" s="2"/>
      <c r="T114" s="7"/>
      <c r="U114" s="2"/>
      <c r="V114" s="8">
        <f t="shared" si="84"/>
        <v>0</v>
      </c>
      <c r="W114" s="2"/>
      <c r="X114" s="7">
        <f t="shared" si="85"/>
        <v>5200.75</v>
      </c>
      <c r="Y114" s="2"/>
      <c r="Z114" s="8">
        <f t="shared" si="86"/>
        <v>0</v>
      </c>
    </row>
    <row r="115" spans="1:26" s="28" customFormat="1" outlineLevel="1" collapsed="1" x14ac:dyDescent="0.3">
      <c r="A115" s="29"/>
      <c r="B115" s="14" t="str">
        <f>CONCATENATE("     ","Telephone/Data Lines                              ")</f>
        <v xml:space="preserve">     Telephone/Data Lines                              </v>
      </c>
      <c r="C115" s="14"/>
      <c r="D115" s="1">
        <f>SUM(OSRRefD22_10x_0)</f>
        <v>254.45</v>
      </c>
      <c r="E115" s="1"/>
      <c r="F115" s="5">
        <f t="shared" ref="F115:F118" si="87">IF(D$12=0,0,D115/D$12)</f>
        <v>6.431510879818808E-4</v>
      </c>
      <c r="G115" s="1"/>
      <c r="H115" s="1">
        <f>SUM(OSRRefH22_10x_0)</f>
        <v>481.56</v>
      </c>
      <c r="I115" s="1"/>
      <c r="J115" s="5">
        <f t="shared" ref="J115:J118" si="88">IF(H$12=0,0,H115/H$12)</f>
        <v>1.6705692639261461E-3</v>
      </c>
      <c r="K115" s="1"/>
      <c r="L115" s="1">
        <f t="shared" ref="L115:L118" si="89">+D115-H115</f>
        <v>-227.11</v>
      </c>
      <c r="M115" s="1"/>
      <c r="N115" s="5">
        <f t="shared" ref="N115:N118" si="90">IF(H115=0,0,L115/H115)</f>
        <v>-0.47161309078827146</v>
      </c>
      <c r="O115" s="14"/>
      <c r="P115" s="1">
        <f>SUM(OSRRefP22_10x_0)</f>
        <v>128.5</v>
      </c>
      <c r="Q115" s="1"/>
      <c r="R115" s="5">
        <f t="shared" ref="R115:R118" si="91">IF(P$12=0,0,P115/P$12)</f>
        <v>2.4727186015057915E-4</v>
      </c>
      <c r="S115" s="1"/>
      <c r="T115" s="1">
        <f>SUM(OSRRefT22_10x_0)</f>
        <v>995.78</v>
      </c>
      <c r="U115" s="1"/>
      <c r="V115" s="5">
        <f t="shared" ref="V115:V118" si="92">IF(T$12=0,0,T115/T$12)</f>
        <v>2.2830504266453059E-3</v>
      </c>
      <c r="W115" s="1"/>
      <c r="X115" s="1">
        <f t="shared" ref="X115:X118" si="93">+P115-T115</f>
        <v>-867.28</v>
      </c>
      <c r="Y115" s="1"/>
      <c r="Z115" s="5">
        <f t="shared" ref="Z115:Z118" si="94">IF(T115=0,0,X115/T115)</f>
        <v>-0.87095543192271385</v>
      </c>
    </row>
    <row r="116" spans="1:26" s="24" customFormat="1" hidden="1" outlineLevel="2" x14ac:dyDescent="0.3">
      <c r="A116" s="27"/>
      <c r="B116" s="11" t="str">
        <f>CONCATENATE("          ", "6309", " - ", "TELEPHONE")</f>
        <v xml:space="preserve">          6309 - TELEPHONE</v>
      </c>
      <c r="C116" s="11"/>
      <c r="D116" s="7">
        <v>254.45</v>
      </c>
      <c r="E116" s="2"/>
      <c r="F116" s="8">
        <f t="shared" si="87"/>
        <v>6.431510879818808E-4</v>
      </c>
      <c r="G116" s="2"/>
      <c r="H116" s="7">
        <v>481.56</v>
      </c>
      <c r="I116" s="2"/>
      <c r="J116" s="8">
        <f t="shared" si="88"/>
        <v>1.6705692639261461E-3</v>
      </c>
      <c r="K116" s="2"/>
      <c r="L116" s="7">
        <f t="shared" si="89"/>
        <v>-227.11</v>
      </c>
      <c r="M116" s="2"/>
      <c r="N116" s="8">
        <f t="shared" si="90"/>
        <v>-0.47161309078827146</v>
      </c>
      <c r="O116" s="11"/>
      <c r="P116" s="7">
        <v>128.5</v>
      </c>
      <c r="Q116" s="2"/>
      <c r="R116" s="8">
        <f t="shared" si="91"/>
        <v>2.4727186015057915E-4</v>
      </c>
      <c r="S116" s="2"/>
      <c r="T116" s="7">
        <v>995.78</v>
      </c>
      <c r="U116" s="2"/>
      <c r="V116" s="8">
        <f t="shared" si="92"/>
        <v>2.2830504266453059E-3</v>
      </c>
      <c r="W116" s="2"/>
      <c r="X116" s="7">
        <f t="shared" si="93"/>
        <v>-867.28</v>
      </c>
      <c r="Y116" s="2"/>
      <c r="Z116" s="8">
        <f t="shared" si="94"/>
        <v>-0.87095543192271385</v>
      </c>
    </row>
    <row r="117" spans="1:26" s="28" customFormat="1" outlineLevel="1" collapsed="1" x14ac:dyDescent="0.3">
      <c r="A117" s="29"/>
      <c r="B117" s="14" t="str">
        <f>CONCATENATE("     ","Travel                                            ")</f>
        <v xml:space="preserve">     Travel                                            </v>
      </c>
      <c r="C117" s="14"/>
      <c r="D117" s="1">
        <f>SUM(OSRRefD22_11x_0)</f>
        <v>0</v>
      </c>
      <c r="E117" s="1"/>
      <c r="F117" s="5">
        <f t="shared" si="87"/>
        <v>0</v>
      </c>
      <c r="G117" s="1"/>
      <c r="H117" s="1">
        <f>SUM(OSRRefH22_11x_0)</f>
        <v>0</v>
      </c>
      <c r="I117" s="1"/>
      <c r="J117" s="5">
        <f t="shared" si="88"/>
        <v>0</v>
      </c>
      <c r="K117" s="1"/>
      <c r="L117" s="1">
        <f t="shared" si="89"/>
        <v>0</v>
      </c>
      <c r="M117" s="1"/>
      <c r="N117" s="5">
        <f t="shared" si="90"/>
        <v>0</v>
      </c>
      <c r="O117" s="14"/>
      <c r="P117" s="1">
        <f>SUM(OSRRefP22_11x_0)</f>
        <v>40.32</v>
      </c>
      <c r="Q117" s="1"/>
      <c r="R117" s="5">
        <f t="shared" si="91"/>
        <v>7.758755954296772E-5</v>
      </c>
      <c r="S117" s="1"/>
      <c r="T117" s="1">
        <f>SUM(OSRRefT22_11x_0)</f>
        <v>0</v>
      </c>
      <c r="U117" s="1"/>
      <c r="V117" s="5">
        <f t="shared" si="92"/>
        <v>0</v>
      </c>
      <c r="W117" s="1"/>
      <c r="X117" s="1">
        <f t="shared" si="93"/>
        <v>40.32</v>
      </c>
      <c r="Y117" s="1"/>
      <c r="Z117" s="5">
        <f t="shared" si="94"/>
        <v>0</v>
      </c>
    </row>
    <row r="118" spans="1:26" s="24" customFormat="1" hidden="1" outlineLevel="2" x14ac:dyDescent="0.3">
      <c r="A118" s="27"/>
      <c r="B118" s="11" t="str">
        <f>CONCATENATE("          ", "6294", " - ", "TRAVEL OPERATIONAL")</f>
        <v xml:space="preserve">          6294 - TRAVEL OPERATIONAL</v>
      </c>
      <c r="C118" s="11"/>
      <c r="D118" s="7"/>
      <c r="E118" s="2"/>
      <c r="F118" s="8">
        <f t="shared" si="87"/>
        <v>0</v>
      </c>
      <c r="G118" s="2"/>
      <c r="H118" s="7"/>
      <c r="I118" s="2"/>
      <c r="J118" s="8">
        <f t="shared" si="88"/>
        <v>0</v>
      </c>
      <c r="K118" s="2"/>
      <c r="L118" s="7">
        <f t="shared" si="89"/>
        <v>0</v>
      </c>
      <c r="M118" s="2"/>
      <c r="N118" s="8">
        <f t="shared" si="90"/>
        <v>0</v>
      </c>
      <c r="O118" s="11"/>
      <c r="P118" s="7">
        <v>40.32</v>
      </c>
      <c r="Q118" s="2"/>
      <c r="R118" s="8">
        <f t="shared" si="91"/>
        <v>7.758755954296772E-5</v>
      </c>
      <c r="S118" s="2"/>
      <c r="T118" s="7"/>
      <c r="U118" s="2"/>
      <c r="V118" s="8">
        <f t="shared" si="92"/>
        <v>0</v>
      </c>
      <c r="W118" s="2"/>
      <c r="X118" s="7">
        <f t="shared" si="93"/>
        <v>40.32</v>
      </c>
      <c r="Y118" s="2"/>
      <c r="Z118" s="8">
        <f t="shared" si="94"/>
        <v>0</v>
      </c>
    </row>
    <row r="119" spans="1:26" s="61" customFormat="1" x14ac:dyDescent="0.3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3">
      <c r="A120" s="10"/>
      <c r="B120" s="26" t="s">
        <v>292</v>
      </c>
      <c r="C120" s="10"/>
      <c r="D120" s="4">
        <f>SUM(OSRRefD25x_0)</f>
        <v>56991</v>
      </c>
      <c r="E120" s="4"/>
      <c r="F120" s="12">
        <f t="shared" ref="F120:F122" si="95">IF(D$12=0,0,D120/D$12)</f>
        <v>0.14405118355345006</v>
      </c>
      <c r="G120" s="4"/>
      <c r="H120" s="4">
        <f>SUM(OSRRefH25x_0)</f>
        <v>0</v>
      </c>
      <c r="I120" s="4"/>
      <c r="J120" s="12">
        <f t="shared" ref="J120:J122" si="96">IF(H$12=0,0,H120/H$12)</f>
        <v>0</v>
      </c>
      <c r="K120" s="4"/>
      <c r="L120" s="4">
        <f t="shared" ref="L120:L122" si="97">+D120-H120</f>
        <v>56991</v>
      </c>
      <c r="M120" s="4"/>
      <c r="N120" s="12">
        <f t="shared" ref="N120:N122" si="98">IF(H120=0,0,L120/H120)</f>
        <v>0</v>
      </c>
      <c r="O120" s="10"/>
      <c r="P120" s="4">
        <f>SUM(OSRRefP25x_0)</f>
        <v>92073.02</v>
      </c>
      <c r="Q120" s="4"/>
      <c r="R120" s="12">
        <f t="shared" ref="R120:R122" si="99">IF(P$12=0,0,P120/P$12)</f>
        <v>0.1771756180940193</v>
      </c>
      <c r="S120" s="4"/>
      <c r="T120" s="4">
        <f>SUM(OSRRefT25x_0)</f>
        <v>172008.31</v>
      </c>
      <c r="U120" s="4"/>
      <c r="V120" s="12">
        <f t="shared" ref="V120:V122" si="100">IF(T$12=0,0,T120/T$12)</f>
        <v>0.39436787797710143</v>
      </c>
      <c r="W120" s="4"/>
      <c r="X120" s="4">
        <f t="shared" ref="X120:X122" si="101">+P120-T120</f>
        <v>-79935.289999999994</v>
      </c>
      <c r="Y120" s="4"/>
      <c r="Z120" s="12">
        <f t="shared" ref="Z120:Z122" si="102">IF(T120=0,0,X120/T120)</f>
        <v>-0.46471760579474325</v>
      </c>
    </row>
    <row r="121" spans="1:26" s="24" customFormat="1" hidden="1" outlineLevel="1" x14ac:dyDescent="0.3">
      <c r="A121" s="44"/>
      <c r="B121" s="11" t="str">
        <f>CONCATENATE("          ", "9150", " - ", "MISC. INCOME")</f>
        <v xml:space="preserve">          9150 - MISC. INCOME</v>
      </c>
      <c r="C121" s="11"/>
      <c r="D121" s="2">
        <f>0</f>
        <v>0</v>
      </c>
      <c r="E121" s="2"/>
      <c r="F121" s="19">
        <f t="shared" si="95"/>
        <v>0</v>
      </c>
      <c r="G121" s="2"/>
      <c r="H121" s="2">
        <f t="shared" ref="H121:H122" si="103">0</f>
        <v>0</v>
      </c>
      <c r="I121" s="2"/>
      <c r="J121" s="19">
        <f t="shared" si="96"/>
        <v>0</v>
      </c>
      <c r="K121" s="2"/>
      <c r="L121" s="2">
        <f t="shared" si="97"/>
        <v>0</v>
      </c>
      <c r="M121" s="2"/>
      <c r="N121" s="19">
        <f t="shared" si="98"/>
        <v>0</v>
      </c>
      <c r="O121" s="11"/>
      <c r="P121" s="2">
        <f>--28753.08</f>
        <v>28753.08</v>
      </c>
      <c r="Q121" s="2"/>
      <c r="R121" s="19">
        <f t="shared" si="99"/>
        <v>5.5329397483723078E-2</v>
      </c>
      <c r="S121" s="2"/>
      <c r="T121" s="2">
        <f>--11344.41</f>
        <v>11344.41</v>
      </c>
      <c r="U121" s="2"/>
      <c r="V121" s="19">
        <f t="shared" si="100"/>
        <v>2.6009620689850445E-2</v>
      </c>
      <c r="W121" s="2"/>
      <c r="X121" s="2">
        <f t="shared" si="101"/>
        <v>17408.670000000002</v>
      </c>
      <c r="Y121" s="2"/>
      <c r="Z121" s="19">
        <f t="shared" si="102"/>
        <v>1.5345593115904663</v>
      </c>
    </row>
    <row r="122" spans="1:26" s="24" customFormat="1" hidden="1" outlineLevel="1" x14ac:dyDescent="0.3">
      <c r="A122" s="44"/>
      <c r="B122" s="11" t="str">
        <f>CONCATENATE("          ", "9163", " - ", "MISC. INCOME")</f>
        <v xml:space="preserve">          9163 - MISC. INCOME</v>
      </c>
      <c r="C122" s="11"/>
      <c r="D122" s="2">
        <f>--56991</f>
        <v>56991</v>
      </c>
      <c r="E122" s="2"/>
      <c r="F122" s="19">
        <f t="shared" si="95"/>
        <v>0.14405118355345006</v>
      </c>
      <c r="G122" s="2"/>
      <c r="H122" s="2">
        <f t="shared" si="103"/>
        <v>0</v>
      </c>
      <c r="I122" s="2"/>
      <c r="J122" s="19">
        <f t="shared" si="96"/>
        <v>0</v>
      </c>
      <c r="K122" s="2"/>
      <c r="L122" s="2">
        <f t="shared" si="97"/>
        <v>56991</v>
      </c>
      <c r="M122" s="2"/>
      <c r="N122" s="19">
        <f t="shared" si="98"/>
        <v>0</v>
      </c>
      <c r="O122" s="11"/>
      <c r="P122" s="2">
        <f>--63319.94</f>
        <v>63319.94</v>
      </c>
      <c r="Q122" s="2"/>
      <c r="R122" s="19">
        <f t="shared" si="99"/>
        <v>0.12184622061029622</v>
      </c>
      <c r="S122" s="2"/>
      <c r="T122" s="2">
        <f>--160663.9</f>
        <v>160663.9</v>
      </c>
      <c r="U122" s="2"/>
      <c r="V122" s="19">
        <f t="shared" si="100"/>
        <v>0.36835825728725097</v>
      </c>
      <c r="W122" s="2"/>
      <c r="X122" s="2">
        <f t="shared" si="101"/>
        <v>-97343.959999999992</v>
      </c>
      <c r="Y122" s="2"/>
      <c r="Z122" s="19">
        <f t="shared" si="102"/>
        <v>-0.60588570301106837</v>
      </c>
    </row>
    <row r="123" spans="1:26" x14ac:dyDescent="0.3">
      <c r="A123" s="9"/>
      <c r="B123" s="10"/>
      <c r="C123" s="10"/>
      <c r="D123" s="3"/>
      <c r="E123" s="3"/>
      <c r="F123" s="6"/>
      <c r="G123" s="3"/>
      <c r="H123" s="3"/>
      <c r="I123" s="3"/>
      <c r="J123" s="6"/>
      <c r="K123" s="3"/>
      <c r="L123" s="3"/>
      <c r="M123" s="3"/>
      <c r="N123" s="6"/>
      <c r="O123" s="10"/>
      <c r="P123" s="3"/>
      <c r="Q123" s="3"/>
      <c r="R123" s="6"/>
      <c r="S123" s="3"/>
      <c r="T123" s="3"/>
      <c r="U123" s="3"/>
      <c r="V123" s="6"/>
      <c r="W123" s="3"/>
      <c r="X123" s="3"/>
      <c r="Y123" s="3"/>
      <c r="Z123" s="6"/>
    </row>
    <row r="124" spans="1:26" s="23" customFormat="1" x14ac:dyDescent="0.3">
      <c r="A124" s="10"/>
      <c r="B124" s="25" t="s">
        <v>276</v>
      </c>
      <c r="C124" s="25"/>
      <c r="D124" s="20">
        <f>+D74-D76+D120</f>
        <v>206615.71</v>
      </c>
      <c r="E124" s="13"/>
      <c r="F124" s="22">
        <f>IF(D$12=0,0,D124/D$12)</f>
        <v>0.52224452222695528</v>
      </c>
      <c r="G124" s="13"/>
      <c r="H124" s="20">
        <f>+H74-H76+H120</f>
        <v>56376.299999999959</v>
      </c>
      <c r="I124" s="13"/>
      <c r="J124" s="22">
        <f>IF(H$12=0,0,H124/H$12)</f>
        <v>0.19557378933856534</v>
      </c>
      <c r="K124" s="15"/>
      <c r="L124" s="20">
        <f>+D124-H124</f>
        <v>150239.41000000003</v>
      </c>
      <c r="M124" s="15"/>
      <c r="N124" s="22">
        <f>IF(H124=0,0,L124/H124)</f>
        <v>2.6649391676999046</v>
      </c>
      <c r="O124" s="26"/>
      <c r="P124" s="20">
        <f>+P74-P76+P120</f>
        <v>219710.08999999991</v>
      </c>
      <c r="Q124" s="13"/>
      <c r="R124" s="22">
        <f>IF(P$12=0,0,P124/P$12)</f>
        <v>0.42278694667821898</v>
      </c>
      <c r="S124" s="13"/>
      <c r="T124" s="20">
        <f>+T74-T76+T120</f>
        <v>236404.66</v>
      </c>
      <c r="U124" s="13"/>
      <c r="V124" s="22">
        <f>IF(T$12=0,0,T124/T$12)</f>
        <v>0.54201104649012688</v>
      </c>
      <c r="W124" s="15"/>
      <c r="X124" s="20">
        <f>+P124-T124</f>
        <v>-16694.570000000094</v>
      </c>
      <c r="Y124" s="15"/>
      <c r="Z124" s="22">
        <f>IF(T124=0,0,X124/T124)</f>
        <v>-7.061861640121686E-2</v>
      </c>
    </row>
    <row r="125" spans="1:26" x14ac:dyDescent="0.3">
      <c r="A125" s="9"/>
      <c r="B125" s="10"/>
      <c r="C125" s="9"/>
      <c r="D125" s="3"/>
      <c r="E125" s="3"/>
      <c r="F125" s="6"/>
      <c r="G125" s="3"/>
      <c r="H125" s="3"/>
      <c r="I125" s="3"/>
      <c r="J125" s="6"/>
      <c r="K125" s="3"/>
      <c r="L125" s="3"/>
      <c r="M125" s="3"/>
      <c r="N125" s="6"/>
      <c r="P125" s="3"/>
      <c r="Q125" s="3"/>
      <c r="R125" s="6"/>
      <c r="S125" s="3"/>
      <c r="T125" s="3"/>
      <c r="U125" s="3"/>
      <c r="V125" s="6"/>
      <c r="W125" s="3"/>
      <c r="X125" s="3"/>
      <c r="Y125" s="3"/>
      <c r="Z125" s="6"/>
    </row>
    <row r="126" spans="1:26" s="23" customFormat="1" x14ac:dyDescent="0.3">
      <c r="A126" s="51"/>
      <c r="B126" s="10" t="s">
        <v>127</v>
      </c>
      <c r="C126" s="10"/>
      <c r="D126" s="4">
        <v>20349.7</v>
      </c>
      <c r="E126" s="4"/>
      <c r="F126" s="12">
        <f>IF(D$12=0,0,D126/D$12)</f>
        <v>5.1436163077637577E-2</v>
      </c>
      <c r="G126" s="4"/>
      <c r="H126" s="4">
        <v>-2110.92</v>
      </c>
      <c r="I126" s="4"/>
      <c r="J126" s="12">
        <f>IF(H$12=0,0,H126/H$12)</f>
        <v>-7.3229464046162063E-3</v>
      </c>
      <c r="K126" s="4"/>
      <c r="L126" s="4">
        <f>+D126-H126</f>
        <v>22460.620000000003</v>
      </c>
      <c r="M126" s="4"/>
      <c r="N126" s="12">
        <f>IF(H126=0,0,L126/H126)</f>
        <v>-10.640204271123492</v>
      </c>
      <c r="O126" s="10"/>
      <c r="P126" s="4">
        <v>77656.009999999995</v>
      </c>
      <c r="Q126" s="4"/>
      <c r="R126" s="12">
        <f>IF(P$12=0,0,P126/P$12)</f>
        <v>0.14943304314842004</v>
      </c>
      <c r="S126" s="4"/>
      <c r="T126" s="4">
        <v>73640.17</v>
      </c>
      <c r="U126" s="4"/>
      <c r="V126" s="12">
        <f>IF(T$12=0,0,T126/T$12)</f>
        <v>0.1688367124633281</v>
      </c>
      <c r="W126" s="4"/>
      <c r="X126" s="4">
        <f>+P126-T126</f>
        <v>4015.8399999999965</v>
      </c>
      <c r="Y126" s="4"/>
      <c r="Z126" s="12">
        <f>IF(T126=0,0,X126/T126)</f>
        <v>5.4533279866138235E-2</v>
      </c>
    </row>
    <row r="127" spans="1:26" x14ac:dyDescent="0.3">
      <c r="A127" s="9"/>
      <c r="B127" s="10"/>
      <c r="C127" s="10"/>
      <c r="D127" s="3"/>
      <c r="E127" s="3"/>
      <c r="F127" s="6"/>
      <c r="G127" s="3"/>
      <c r="H127" s="3"/>
      <c r="I127" s="3"/>
      <c r="J127" s="6"/>
      <c r="K127" s="3"/>
      <c r="L127" s="3"/>
      <c r="M127" s="3"/>
      <c r="N127" s="6"/>
      <c r="O127" s="10"/>
      <c r="P127" s="3"/>
      <c r="Q127" s="3"/>
      <c r="R127" s="6"/>
      <c r="S127" s="3"/>
      <c r="T127" s="3"/>
      <c r="U127" s="3"/>
      <c r="V127" s="6"/>
      <c r="W127" s="3"/>
      <c r="X127" s="3"/>
      <c r="Y127" s="3"/>
      <c r="Z127" s="6"/>
    </row>
    <row r="128" spans="1:26" s="23" customFormat="1" ht="15" thickBot="1" x14ac:dyDescent="0.35">
      <c r="A128" s="10"/>
      <c r="B128" s="25" t="s">
        <v>125</v>
      </c>
      <c r="C128" s="25"/>
      <c r="D128" s="33">
        <f>+D124-D126</f>
        <v>186266.00999999998</v>
      </c>
      <c r="E128" s="13"/>
      <c r="F128" s="36">
        <f>IF(D$12=0,0,D128/D$12)</f>
        <v>0.47080835914931768</v>
      </c>
      <c r="G128" s="13"/>
      <c r="H128" s="33">
        <f>+H124-H126</f>
        <v>58487.219999999958</v>
      </c>
      <c r="I128" s="13"/>
      <c r="J128" s="36">
        <f>IF(H$12=0,0,H128/H$12)</f>
        <v>0.20289673574318154</v>
      </c>
      <c r="K128" s="15"/>
      <c r="L128" s="33">
        <f>D128-H128</f>
        <v>127778.79000000002</v>
      </c>
      <c r="M128" s="15"/>
      <c r="N128" s="36">
        <f>IF(H128=0,0,L128/H128)</f>
        <v>2.1847301000115942</v>
      </c>
      <c r="O128" s="26"/>
      <c r="P128" s="33">
        <f>+P124-P126</f>
        <v>142054.0799999999</v>
      </c>
      <c r="Q128" s="13"/>
      <c r="R128" s="36">
        <f>IF(P$12=0,0,P128/P$12)</f>
        <v>0.27335390352979888</v>
      </c>
      <c r="S128" s="13"/>
      <c r="T128" s="33">
        <f>+T124-T126</f>
        <v>162764.49</v>
      </c>
      <c r="U128" s="13"/>
      <c r="V128" s="36">
        <f>IF(T$12=0,0,T128/T$12)</f>
        <v>0.37317433402679873</v>
      </c>
      <c r="W128" s="15"/>
      <c r="X128" s="33">
        <f>P128-T128</f>
        <v>-20710.410000000091</v>
      </c>
      <c r="Y128" s="15"/>
      <c r="Z128" s="36">
        <f>IF(T128=0,0,X128/T128)</f>
        <v>-0.12724157462109881</v>
      </c>
    </row>
    <row r="129" spans="1:26" ht="15" thickTop="1" x14ac:dyDescent="0.3">
      <c r="A129" s="9"/>
      <c r="B129" s="9"/>
      <c r="C129" s="9"/>
      <c r="D129" s="3"/>
      <c r="E129" s="3"/>
      <c r="F129" s="6"/>
      <c r="G129" s="3"/>
      <c r="H129" s="3"/>
      <c r="I129" s="3"/>
      <c r="J129" s="6"/>
      <c r="K129" s="3"/>
      <c r="L129" s="3"/>
      <c r="M129" s="3"/>
      <c r="N129" s="6"/>
      <c r="P129" s="3"/>
      <c r="Q129" s="3"/>
      <c r="R129" s="6"/>
      <c r="S129" s="3"/>
      <c r="T129" s="3"/>
      <c r="U129" s="3"/>
      <c r="V129" s="6"/>
      <c r="W129" s="3"/>
      <c r="X129" s="3"/>
      <c r="Y129" s="3"/>
      <c r="Z129" s="6"/>
    </row>
    <row r="130" spans="1:26" x14ac:dyDescent="0.3">
      <c r="A130" s="9"/>
      <c r="B130" s="9"/>
      <c r="C130" s="9"/>
      <c r="D130" s="3"/>
      <c r="E130" s="3"/>
      <c r="F130" s="6"/>
      <c r="G130" s="3"/>
      <c r="H130" s="3"/>
      <c r="I130" s="3"/>
      <c r="J130" s="6"/>
      <c r="K130" s="3"/>
      <c r="L130" s="3"/>
      <c r="M130" s="3"/>
      <c r="N130" s="6"/>
      <c r="P130" s="3"/>
      <c r="Q130" s="3"/>
      <c r="R130" s="6"/>
      <c r="S130" s="3"/>
      <c r="T130" s="3"/>
      <c r="U130" s="3"/>
      <c r="V130" s="6"/>
      <c r="W130" s="3"/>
      <c r="X130" s="3"/>
      <c r="Y130" s="3"/>
      <c r="Z130" s="6"/>
    </row>
    <row r="131" spans="1:26" s="23" customFormat="1" ht="15" thickBot="1" x14ac:dyDescent="0.35">
      <c r="A131" s="10"/>
      <c r="B131" s="25" t="s">
        <v>293</v>
      </c>
      <c r="C131" s="25"/>
      <c r="D131" s="30">
        <f>SUM(D128:D130)</f>
        <v>186266.00999999998</v>
      </c>
      <c r="E131" s="13"/>
      <c r="F131" s="31">
        <f>IF(D$12=0,0,D131/D$12)</f>
        <v>0.47080835914931768</v>
      </c>
      <c r="G131" s="13"/>
      <c r="H131" s="30">
        <f>SUM(H128:H130)</f>
        <v>58487.219999999958</v>
      </c>
      <c r="I131" s="13"/>
      <c r="J131" s="31">
        <f>IF(H$12=0,0,H131/H$12)</f>
        <v>0.20289673574318154</v>
      </c>
      <c r="K131" s="15"/>
      <c r="L131" s="30">
        <f>+D131-H131</f>
        <v>127778.79000000002</v>
      </c>
      <c r="M131" s="15"/>
      <c r="N131" s="31">
        <f>IF(H131=0,0,L131/H131)</f>
        <v>2.1847301000115942</v>
      </c>
      <c r="O131" s="26"/>
      <c r="P131" s="30">
        <f>SUM(P128:P130)</f>
        <v>142054.0799999999</v>
      </c>
      <c r="Q131" s="13"/>
      <c r="R131" s="31">
        <f>IF(P$12=0,0,P131/P$12)</f>
        <v>0.27335390352979888</v>
      </c>
      <c r="S131" s="13"/>
      <c r="T131" s="30">
        <f>SUM(T128:T130)</f>
        <v>162764.49</v>
      </c>
      <c r="U131" s="13"/>
      <c r="V131" s="31">
        <f>IF(T$12=0,0,T131/T$12)</f>
        <v>0.37317433402679873</v>
      </c>
      <c r="W131" s="15"/>
      <c r="X131" s="30">
        <f>+P131-T131</f>
        <v>-20710.410000000091</v>
      </c>
      <c r="Y131" s="15"/>
      <c r="Z131" s="31">
        <f>IF(T131=0,0,X131/T131)</f>
        <v>-0.12724157462109881</v>
      </c>
    </row>
    <row r="132" spans="1:26" ht="15" thickTop="1" x14ac:dyDescent="0.3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3">
      <c r="A133" s="9"/>
      <c r="B133" s="59">
        <v>44470.840542939812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3">
      <c r="A134" s="9"/>
      <c r="B134" s="58" t="s">
        <v>56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3">
      <c r="A135" s="9"/>
      <c r="B135" s="52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3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","326", " - ", "2nd Street Store")</f>
        <v>Department 326 - 2nd Street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35035.19</v>
      </c>
      <c r="E12" s="4"/>
      <c r="F12" s="12"/>
      <c r="G12" s="4"/>
      <c r="H12" s="4">
        <f>SUM(OSRRefH13x_0)</f>
        <v>22797.32</v>
      </c>
      <c r="I12" s="4"/>
      <c r="J12" s="12"/>
      <c r="K12" s="4"/>
      <c r="L12" s="4">
        <f t="shared" ref="L12:L31" si="0">+D12-H12</f>
        <v>12237.870000000003</v>
      </c>
      <c r="M12" s="4"/>
      <c r="N12" s="12">
        <f t="shared" ref="N12:N31" si="1">IF(H12=0,0,L12/H12)</f>
        <v>0.53681178313942179</v>
      </c>
      <c r="O12" s="10"/>
      <c r="P12" s="4">
        <f>SUM(OSRRefP13x_0)</f>
        <v>66846.06</v>
      </c>
      <c r="Q12" s="4"/>
      <c r="R12" s="12"/>
      <c r="S12" s="4"/>
      <c r="T12" s="4">
        <f>SUM(OSRRefT13x_0)</f>
        <v>49677.090000000004</v>
      </c>
      <c r="U12" s="4"/>
      <c r="V12" s="12"/>
      <c r="W12" s="4"/>
      <c r="X12" s="4">
        <f t="shared" ref="X12:X31" si="2">+P12-T12</f>
        <v>17168.969999999994</v>
      </c>
      <c r="Y12" s="4"/>
      <c r="Z12" s="12">
        <f t="shared" ref="Z12:Z31" si="3">IF(T12=0,0,X12/T12)</f>
        <v>0.34561142772251741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--36008.12</f>
        <v>36008.120000000003</v>
      </c>
      <c r="E13" s="2"/>
      <c r="F13" s="19"/>
      <c r="G13" s="2"/>
      <c r="H13" s="2">
        <f>-295.67</f>
        <v>-295.67</v>
      </c>
      <c r="I13" s="2"/>
      <c r="J13" s="19"/>
      <c r="K13" s="2"/>
      <c r="L13" s="2">
        <f t="shared" si="0"/>
        <v>36303.79</v>
      </c>
      <c r="M13" s="2"/>
      <c r="N13" s="19">
        <f t="shared" si="1"/>
        <v>-122.78482767950756</v>
      </c>
      <c r="O13" s="11"/>
      <c r="P13" s="2">
        <f>--68814.8</f>
        <v>68814.8</v>
      </c>
      <c r="Q13" s="2"/>
      <c r="R13" s="19"/>
      <c r="S13" s="2"/>
      <c r="T13" s="2">
        <f>-646</f>
        <v>-646</v>
      </c>
      <c r="U13" s="2"/>
      <c r="V13" s="19"/>
      <c r="W13" s="2"/>
      <c r="X13" s="2">
        <f t="shared" si="2"/>
        <v>69460.800000000003</v>
      </c>
      <c r="Y13" s="2"/>
      <c r="Z13" s="19">
        <f t="shared" si="3"/>
        <v>-107.52445820433437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0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0" si="5">0</f>
        <v>0</v>
      </c>
      <c r="Q14" s="2"/>
      <c r="R14" s="19"/>
      <c r="S14" s="2"/>
      <c r="T14" s="2">
        <f>--14.57</f>
        <v>14.57</v>
      </c>
      <c r="U14" s="2"/>
      <c r="V14" s="19"/>
      <c r="W14" s="2"/>
      <c r="X14" s="2">
        <f t="shared" si="2"/>
        <v>-14.57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--8.99</f>
        <v>8.99</v>
      </c>
      <c r="I15" s="2"/>
      <c r="J15" s="19"/>
      <c r="K15" s="2"/>
      <c r="L15" s="2">
        <f t="shared" si="0"/>
        <v>-8.99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--8.99</f>
        <v>8.99</v>
      </c>
      <c r="U15" s="2"/>
      <c r="V15" s="19"/>
      <c r="W15" s="2"/>
      <c r="X15" s="2">
        <f t="shared" si="2"/>
        <v>-8.99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 t="shared" si="4"/>
        <v>0</v>
      </c>
      <c r="E16" s="2"/>
      <c r="F16" s="19"/>
      <c r="G16" s="2"/>
      <c r="H16" s="2">
        <f>--19174.41</f>
        <v>19174.41</v>
      </c>
      <c r="I16" s="2"/>
      <c r="J16" s="19"/>
      <c r="K16" s="2"/>
      <c r="L16" s="2">
        <f t="shared" si="0"/>
        <v>-19174.41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--41086.07</f>
        <v>41086.07</v>
      </c>
      <c r="U16" s="2"/>
      <c r="V16" s="19"/>
      <c r="W16" s="2"/>
      <c r="X16" s="2">
        <f t="shared" si="2"/>
        <v>-41086.07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 t="shared" si="4"/>
        <v>0</v>
      </c>
      <c r="E17" s="2"/>
      <c r="F17" s="19"/>
      <c r="G17" s="2"/>
      <c r="H17" s="2">
        <f>--2843.88</f>
        <v>2843.88</v>
      </c>
      <c r="I17" s="2"/>
      <c r="J17" s="19"/>
      <c r="K17" s="2"/>
      <c r="L17" s="2">
        <f t="shared" si="0"/>
        <v>-2843.88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--7029.35</f>
        <v>7029.35</v>
      </c>
      <c r="U17" s="2"/>
      <c r="V17" s="19"/>
      <c r="W17" s="2"/>
      <c r="X17" s="2">
        <f t="shared" si="2"/>
        <v>-7029.35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 t="shared" si="4"/>
        <v>0</v>
      </c>
      <c r="E18" s="2"/>
      <c r="F18" s="19"/>
      <c r="G18" s="2"/>
      <c r="H18" s="2">
        <f>--1249.5</f>
        <v>1249.5</v>
      </c>
      <c r="I18" s="2"/>
      <c r="J18" s="19"/>
      <c r="K18" s="2"/>
      <c r="L18" s="2">
        <f t="shared" si="0"/>
        <v>-1249.5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--2848.83</f>
        <v>2848.83</v>
      </c>
      <c r="U18" s="2"/>
      <c r="V18" s="19"/>
      <c r="W18" s="2"/>
      <c r="X18" s="2">
        <f t="shared" si="2"/>
        <v>-2848.83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 t="shared" si="4"/>
        <v>0</v>
      </c>
      <c r="E19" s="2"/>
      <c r="F19" s="19"/>
      <c r="G19" s="2"/>
      <c r="H19" s="2">
        <f>--349.65</f>
        <v>349.65</v>
      </c>
      <c r="I19" s="2"/>
      <c r="J19" s="19"/>
      <c r="K19" s="2"/>
      <c r="L19" s="2">
        <f t="shared" si="0"/>
        <v>-349.65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--379.64</f>
        <v>379.64</v>
      </c>
      <c r="U19" s="2"/>
      <c r="V19" s="19"/>
      <c r="W19" s="2"/>
      <c r="X19" s="2">
        <f t="shared" si="2"/>
        <v>-379.64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 t="shared" si="4"/>
        <v>0</v>
      </c>
      <c r="E20" s="2"/>
      <c r="F20" s="19"/>
      <c r="G20" s="2"/>
      <c r="H20" s="2">
        <f>--194.6</f>
        <v>194.6</v>
      </c>
      <c r="I20" s="2"/>
      <c r="J20" s="19"/>
      <c r="K20" s="2"/>
      <c r="L20" s="2">
        <f t="shared" si="0"/>
        <v>-194.6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--492.08</f>
        <v>492.08</v>
      </c>
      <c r="U20" s="2"/>
      <c r="V20" s="19"/>
      <c r="W20" s="2"/>
      <c r="X20" s="2">
        <f t="shared" si="2"/>
        <v>-492.08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--1.5</f>
        <v>1.5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1.5</v>
      </c>
      <c r="M21" s="2"/>
      <c r="N21" s="19">
        <f t="shared" si="1"/>
        <v>0</v>
      </c>
      <c r="O21" s="11"/>
      <c r="P21" s="2">
        <f>--19.5</f>
        <v>19.5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19.5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ref="D22:D25" si="6">0</f>
        <v>0</v>
      </c>
      <c r="E22" s="2"/>
      <c r="F22" s="19"/>
      <c r="G22" s="2"/>
      <c r="H22" s="2">
        <f>--9</f>
        <v>9</v>
      </c>
      <c r="I22" s="2"/>
      <c r="J22" s="19"/>
      <c r="K22" s="2"/>
      <c r="L22" s="2">
        <f t="shared" si="0"/>
        <v>-9</v>
      </c>
      <c r="M22" s="2"/>
      <c r="N22" s="19">
        <f t="shared" si="1"/>
        <v>-1</v>
      </c>
      <c r="O22" s="11"/>
      <c r="P22" s="2">
        <f t="shared" ref="P22:P25" si="7">0</f>
        <v>0</v>
      </c>
      <c r="Q22" s="2"/>
      <c r="R22" s="19"/>
      <c r="S22" s="2"/>
      <c r="T22" s="2">
        <f>--10.5</f>
        <v>10.5</v>
      </c>
      <c r="U22" s="2"/>
      <c r="V22" s="19"/>
      <c r="W22" s="2"/>
      <c r="X22" s="2">
        <f t="shared" si="2"/>
        <v>-10.5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6"/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7"/>
        <v>0</v>
      </c>
      <c r="Q23" s="2"/>
      <c r="R23" s="19"/>
      <c r="S23" s="2"/>
      <c r="T23" s="2">
        <f>--9</f>
        <v>9</v>
      </c>
      <c r="U23" s="2"/>
      <c r="V23" s="19"/>
      <c r="W23" s="2"/>
      <c r="X23" s="2">
        <f t="shared" si="2"/>
        <v>-9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"4140", " - ", "NON-TAXABLE SALES-LOGO CLOTHIN")</f>
        <v xml:space="preserve">          4140 - NON-TAXABLE SALES-LOGO CLOTHIN</v>
      </c>
      <c r="C24" s="11"/>
      <c r="D24" s="2">
        <f t="shared" si="6"/>
        <v>0</v>
      </c>
      <c r="E24" s="2"/>
      <c r="F24" s="19"/>
      <c r="G24" s="2"/>
      <c r="H24" s="2">
        <f>--14.98</f>
        <v>14.98</v>
      </c>
      <c r="I24" s="2"/>
      <c r="J24" s="19"/>
      <c r="K24" s="2"/>
      <c r="L24" s="2">
        <f t="shared" si="0"/>
        <v>-14.98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--83.44</f>
        <v>83.44</v>
      </c>
      <c r="U24" s="2"/>
      <c r="V24" s="19"/>
      <c r="W24" s="2"/>
      <c r="X24" s="2">
        <f t="shared" si="2"/>
        <v>-83.44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 t="shared" si="6"/>
        <v>0</v>
      </c>
      <c r="E25" s="2"/>
      <c r="F25" s="19"/>
      <c r="G25" s="2"/>
      <c r="H25" s="2">
        <f t="shared" ref="H25:H27" si="8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7"/>
        <v>0</v>
      </c>
      <c r="Q25" s="2"/>
      <c r="R25" s="19"/>
      <c r="S25" s="2"/>
      <c r="T25" s="2">
        <f>--7</f>
        <v>7</v>
      </c>
      <c r="U25" s="2"/>
      <c r="V25" s="19"/>
      <c r="W25" s="2"/>
      <c r="X25" s="2">
        <f t="shared" si="2"/>
        <v>-7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"4200", " - ", "TAXABLE RETURNS")</f>
        <v xml:space="preserve">          4200 - TAXABLE RETURNS</v>
      </c>
      <c r="C26" s="11"/>
      <c r="D26" s="2">
        <f>-974.43</f>
        <v>-974.43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-974.43</v>
      </c>
      <c r="M26" s="2"/>
      <c r="N26" s="19">
        <f t="shared" si="1"/>
        <v>0</v>
      </c>
      <c r="O26" s="11"/>
      <c r="P26" s="2">
        <f>-1988.24</f>
        <v>-1988.24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-1988.24</v>
      </c>
      <c r="Y26" s="2"/>
      <c r="Z26" s="19">
        <f t="shared" si="3"/>
        <v>0</v>
      </c>
    </row>
    <row r="27" spans="1:26" s="24" customFormat="1" hidden="1" outlineLevel="1" x14ac:dyDescent="0.3">
      <c r="A27" s="44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 t="shared" ref="D27:D31" si="9">0</f>
        <v>0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ref="P27:P31" si="10">0</f>
        <v>0</v>
      </c>
      <c r="Q27" s="2"/>
      <c r="R27" s="19"/>
      <c r="S27" s="2"/>
      <c r="T27" s="2">
        <f>-30</f>
        <v>-30</v>
      </c>
      <c r="U27" s="2"/>
      <c r="V27" s="19"/>
      <c r="W27" s="2"/>
      <c r="X27" s="2">
        <f t="shared" si="2"/>
        <v>30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 t="shared" si="9"/>
        <v>0</v>
      </c>
      <c r="E28" s="2"/>
      <c r="F28" s="19"/>
      <c r="G28" s="2"/>
      <c r="H28" s="2">
        <f>-700.45</f>
        <v>-700.45</v>
      </c>
      <c r="I28" s="2"/>
      <c r="J28" s="19"/>
      <c r="K28" s="2"/>
      <c r="L28" s="2">
        <f t="shared" si="0"/>
        <v>700.45</v>
      </c>
      <c r="M28" s="2"/>
      <c r="N28" s="19">
        <f t="shared" si="1"/>
        <v>-1</v>
      </c>
      <c r="O28" s="11"/>
      <c r="P28" s="2">
        <f t="shared" si="10"/>
        <v>0</v>
      </c>
      <c r="Q28" s="2"/>
      <c r="R28" s="19"/>
      <c r="S28" s="2"/>
      <c r="T28" s="2">
        <f>-1450.1</f>
        <v>-1450.1</v>
      </c>
      <c r="U28" s="2"/>
      <c r="V28" s="19"/>
      <c r="W28" s="2"/>
      <c r="X28" s="2">
        <f t="shared" si="2"/>
        <v>1450.1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 t="shared" si="9"/>
        <v>0</v>
      </c>
      <c r="E29" s="2"/>
      <c r="F29" s="19"/>
      <c r="G29" s="2"/>
      <c r="H29" s="2">
        <f>-28.85</f>
        <v>-28.85</v>
      </c>
      <c r="I29" s="2"/>
      <c r="J29" s="19"/>
      <c r="K29" s="2"/>
      <c r="L29" s="2">
        <f t="shared" si="0"/>
        <v>28.85</v>
      </c>
      <c r="M29" s="2"/>
      <c r="N29" s="19">
        <f t="shared" si="1"/>
        <v>-1</v>
      </c>
      <c r="O29" s="11"/>
      <c r="P29" s="2">
        <f t="shared" si="10"/>
        <v>0</v>
      </c>
      <c r="Q29" s="2"/>
      <c r="R29" s="19"/>
      <c r="S29" s="2"/>
      <c r="T29" s="2">
        <f>-62.7</f>
        <v>-62.7</v>
      </c>
      <c r="U29" s="2"/>
      <c r="V29" s="19"/>
      <c r="W29" s="2"/>
      <c r="X29" s="2">
        <f t="shared" si="2"/>
        <v>62.7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 t="shared" si="9"/>
        <v>0</v>
      </c>
      <c r="E30" s="2"/>
      <c r="F30" s="19"/>
      <c r="G30" s="2"/>
      <c r="H30" s="2">
        <f>-22.72</f>
        <v>-22.72</v>
      </c>
      <c r="I30" s="2"/>
      <c r="J30" s="19"/>
      <c r="K30" s="2"/>
      <c r="L30" s="2">
        <f t="shared" si="0"/>
        <v>22.72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-96.58</f>
        <v>-96.58</v>
      </c>
      <c r="U30" s="2"/>
      <c r="V30" s="19"/>
      <c r="W30" s="2"/>
      <c r="X30" s="2">
        <f t="shared" si="2"/>
        <v>96.58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 t="shared" si="9"/>
        <v>0</v>
      </c>
      <c r="E31" s="2"/>
      <c r="F31" s="19"/>
      <c r="G31" s="2"/>
      <c r="H31" s="2">
        <f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10"/>
        <v>0</v>
      </c>
      <c r="Q31" s="2"/>
      <c r="R31" s="19"/>
      <c r="S31" s="2"/>
      <c r="T31" s="2">
        <f>-7</f>
        <v>-7</v>
      </c>
      <c r="U31" s="2"/>
      <c r="V31" s="19"/>
      <c r="W31" s="2"/>
      <c r="X31" s="2">
        <f t="shared" si="2"/>
        <v>7</v>
      </c>
      <c r="Y31" s="2"/>
      <c r="Z31" s="19">
        <f t="shared" si="3"/>
        <v>-1</v>
      </c>
    </row>
    <row r="32" spans="1:26" x14ac:dyDescent="0.3">
      <c r="A32" s="9"/>
      <c r="B32" s="10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collapsed="1" x14ac:dyDescent="0.3">
      <c r="A33" s="10"/>
      <c r="B33" s="26" t="s">
        <v>256</v>
      </c>
      <c r="C33" s="10"/>
      <c r="D33" s="4">
        <f>SUM(OSRRefD16x_0)</f>
        <v>16630.45</v>
      </c>
      <c r="E33" s="4"/>
      <c r="F33" s="12">
        <f t="shared" ref="F33:F35" si="11">IF(D$12=0,0,D33/D$12)</f>
        <v>0.4746784590007932</v>
      </c>
      <c r="G33" s="4"/>
      <c r="H33" s="4">
        <f>SUM(OSRRefH16x_0)</f>
        <v>8270</v>
      </c>
      <c r="I33" s="4"/>
      <c r="J33" s="12">
        <f t="shared" ref="J33:J35" si="12">IF(H$12=0,0,H33/H$12)</f>
        <v>0.36276193868402073</v>
      </c>
      <c r="K33" s="4"/>
      <c r="L33" s="4">
        <f t="shared" ref="L33:L35" si="13">+D33-H33</f>
        <v>8360.4500000000007</v>
      </c>
      <c r="M33" s="4"/>
      <c r="N33" s="12">
        <f t="shared" ref="N33:N35" si="14">IF(H33=0,0,L33/H33)</f>
        <v>1.0109371221281742</v>
      </c>
      <c r="O33" s="10"/>
      <c r="P33" s="4">
        <f>SUM(OSRRefP16x_0)</f>
        <v>32612.78</v>
      </c>
      <c r="Q33" s="4"/>
      <c r="R33" s="12">
        <f t="shared" ref="R33:R35" si="15">IF(P$12=0,0,P33/P$12)</f>
        <v>0.48787886675744241</v>
      </c>
      <c r="S33" s="4"/>
      <c r="T33" s="4">
        <f>SUM(OSRRefT16x_0)</f>
        <v>18640</v>
      </c>
      <c r="U33" s="4"/>
      <c r="V33" s="12">
        <f t="shared" ref="V33:V35" si="16">IF(T$12=0,0,T33/T$12)</f>
        <v>0.37522326690230845</v>
      </c>
      <c r="W33" s="4"/>
      <c r="X33" s="4">
        <f t="shared" ref="X33:X35" si="17">+P33-T33</f>
        <v>13972.779999999999</v>
      </c>
      <c r="Y33" s="4"/>
      <c r="Z33" s="12">
        <f t="shared" ref="Z33:Z35" si="18">IF(T33=0,0,X33/T33)</f>
        <v>0.74961266094420598</v>
      </c>
    </row>
    <row r="34" spans="1:26" s="24" customFormat="1" hidden="1" outlineLevel="1" x14ac:dyDescent="0.3">
      <c r="A34" s="44"/>
      <c r="B34" s="11" t="str">
        <f>CONCATENATE("          ", "5040", " - ", "PURCHASES @ COST-LOGO CLOTHING")</f>
        <v xml:space="preserve">          5040 - PURCHASES @ COST-LOGO CLOTHING</v>
      </c>
      <c r="C34" s="11"/>
      <c r="D34" s="2"/>
      <c r="E34" s="2"/>
      <c r="F34" s="19">
        <f t="shared" si="11"/>
        <v>0</v>
      </c>
      <c r="G34" s="2"/>
      <c r="H34" s="2">
        <v>0</v>
      </c>
      <c r="I34" s="2"/>
      <c r="J34" s="19">
        <f t="shared" si="12"/>
        <v>0</v>
      </c>
      <c r="K34" s="2"/>
      <c r="L34" s="2">
        <f t="shared" si="13"/>
        <v>0</v>
      </c>
      <c r="M34" s="2"/>
      <c r="N34" s="19">
        <f t="shared" si="14"/>
        <v>0</v>
      </c>
      <c r="O34" s="11"/>
      <c r="P34" s="2"/>
      <c r="Q34" s="2"/>
      <c r="R34" s="19">
        <f t="shared" si="15"/>
        <v>0</v>
      </c>
      <c r="S34" s="2"/>
      <c r="T34" s="2">
        <v>0</v>
      </c>
      <c r="U34" s="2"/>
      <c r="V34" s="19">
        <f t="shared" si="16"/>
        <v>0</v>
      </c>
      <c r="W34" s="2"/>
      <c r="X34" s="2">
        <f t="shared" si="17"/>
        <v>0</v>
      </c>
      <c r="Y34" s="2"/>
      <c r="Z34" s="19">
        <f t="shared" si="18"/>
        <v>0</v>
      </c>
    </row>
    <row r="35" spans="1:26" s="24" customFormat="1" hidden="1" outlineLevel="1" x14ac:dyDescent="0.3">
      <c r="A35" s="44"/>
      <c r="B35" s="11" t="str">
        <f>CONCATENATE("          ", "5300", " - ", "COG$ OFFSET")</f>
        <v xml:space="preserve">          5300 - COG$ OFFSET</v>
      </c>
      <c r="C35" s="11"/>
      <c r="D35" s="2">
        <v>16630.45</v>
      </c>
      <c r="E35" s="2"/>
      <c r="F35" s="19">
        <f t="shared" si="11"/>
        <v>0.4746784590007932</v>
      </c>
      <c r="G35" s="2"/>
      <c r="H35" s="2">
        <v>8270</v>
      </c>
      <c r="I35" s="2"/>
      <c r="J35" s="19">
        <f t="shared" si="12"/>
        <v>0.36276193868402073</v>
      </c>
      <c r="K35" s="2"/>
      <c r="L35" s="2">
        <f t="shared" si="13"/>
        <v>8360.4500000000007</v>
      </c>
      <c r="M35" s="2"/>
      <c r="N35" s="19">
        <f t="shared" si="14"/>
        <v>1.0109371221281742</v>
      </c>
      <c r="O35" s="11"/>
      <c r="P35" s="2">
        <v>32612.78</v>
      </c>
      <c r="Q35" s="2"/>
      <c r="R35" s="19">
        <f t="shared" si="15"/>
        <v>0.48787886675744241</v>
      </c>
      <c r="S35" s="2"/>
      <c r="T35" s="2">
        <v>18640</v>
      </c>
      <c r="U35" s="2"/>
      <c r="V35" s="19">
        <f t="shared" si="16"/>
        <v>0.37522326690230845</v>
      </c>
      <c r="W35" s="2"/>
      <c r="X35" s="2">
        <f t="shared" si="17"/>
        <v>13972.779999999999</v>
      </c>
      <c r="Y35" s="2"/>
      <c r="Z35" s="19">
        <f t="shared" si="18"/>
        <v>0.74961266094420598</v>
      </c>
    </row>
    <row r="36" spans="1:26" x14ac:dyDescent="0.3">
      <c r="A36" s="9"/>
      <c r="B36" s="10"/>
      <c r="C36" s="10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O36" s="10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s="23" customFormat="1" x14ac:dyDescent="0.3">
      <c r="A37" s="10"/>
      <c r="B37" s="25" t="s">
        <v>107</v>
      </c>
      <c r="C37" s="25"/>
      <c r="D37" s="20">
        <f>D12-D33</f>
        <v>18404.740000000002</v>
      </c>
      <c r="E37" s="13"/>
      <c r="F37" s="22">
        <f>IF(D$12=0,0,D37/D$12)</f>
        <v>0.5253215409992068</v>
      </c>
      <c r="G37" s="13"/>
      <c r="H37" s="20">
        <f>H12-H33</f>
        <v>14527.32</v>
      </c>
      <c r="I37" s="13"/>
      <c r="J37" s="22">
        <f>IF(H$12=0,0,H37/H$12)</f>
        <v>0.63723806131597927</v>
      </c>
      <c r="K37" s="15"/>
      <c r="L37" s="20">
        <f>+D37-H37</f>
        <v>3877.4200000000019</v>
      </c>
      <c r="M37" s="15"/>
      <c r="N37" s="22">
        <f>IF(H37=0,0,L37/H37)</f>
        <v>0.26690538929410257</v>
      </c>
      <c r="O37" s="26"/>
      <c r="P37" s="20">
        <f>P12-P33</f>
        <v>34233.279999999999</v>
      </c>
      <c r="Q37" s="13"/>
      <c r="R37" s="22">
        <f>IF(P$12=0,0,P37/P$12)</f>
        <v>0.51212113324255759</v>
      </c>
      <c r="S37" s="13"/>
      <c r="T37" s="20">
        <f>T12-T33</f>
        <v>31037.090000000004</v>
      </c>
      <c r="U37" s="13"/>
      <c r="V37" s="22">
        <f>IF(T$12=0,0,T37/T$12)</f>
        <v>0.62477673309769155</v>
      </c>
      <c r="W37" s="15"/>
      <c r="X37" s="20">
        <f>+P37-T37</f>
        <v>3196.1899999999951</v>
      </c>
      <c r="Y37" s="15"/>
      <c r="Z37" s="22">
        <f>IF(T37=0,0,X37/T37)</f>
        <v>0.10297969300601295</v>
      </c>
    </row>
    <row r="38" spans="1:26" x14ac:dyDescent="0.3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7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3">
      <c r="A39" s="10"/>
      <c r="B39" s="26" t="s">
        <v>294</v>
      </c>
      <c r="C39" s="10"/>
      <c r="D39" s="21">
        <f>SUM(OSRRefD22x_0)</f>
        <v>16384.27</v>
      </c>
      <c r="E39" s="21"/>
      <c r="F39" s="32">
        <f t="shared" ref="F39:F48" si="19">IF(D$12=0,0,D39/D$12)</f>
        <v>0.46765180950923912</v>
      </c>
      <c r="G39" s="21"/>
      <c r="H39" s="21">
        <f>SUM(OSRRefH22x_0)</f>
        <v>18364.87</v>
      </c>
      <c r="I39" s="21"/>
      <c r="J39" s="32">
        <f t="shared" ref="J39:J48" si="20">IF(H$12=0,0,H39/H$12)</f>
        <v>0.8055714443627584</v>
      </c>
      <c r="K39" s="4"/>
      <c r="L39" s="21">
        <f t="shared" ref="L39:L48" si="21">+D39-H39</f>
        <v>-1980.5999999999985</v>
      </c>
      <c r="M39" s="4"/>
      <c r="N39" s="32">
        <f t="shared" ref="N39:N48" si="22">IF(H39=0,0,L39/H39)</f>
        <v>-0.10784721046214858</v>
      </c>
      <c r="O39" s="10"/>
      <c r="P39" s="21">
        <f>SUM(OSRRefP22x_0)</f>
        <v>33286.049999999996</v>
      </c>
      <c r="Q39" s="21"/>
      <c r="R39" s="32">
        <f t="shared" ref="R39:R48" si="23">IF(P$12=0,0,P39/P$12)</f>
        <v>0.49795081415419246</v>
      </c>
      <c r="S39" s="21"/>
      <c r="T39" s="21">
        <f>SUM(OSRRefT22x_0)</f>
        <v>41436.269999999997</v>
      </c>
      <c r="U39" s="21"/>
      <c r="V39" s="32">
        <f t="shared" ref="V39:V48" si="24">IF(T$12=0,0,T39/T$12)</f>
        <v>0.83411226382221648</v>
      </c>
      <c r="W39" s="4"/>
      <c r="X39" s="21">
        <f t="shared" ref="X39:X48" si="25">+P39-T39</f>
        <v>-8150.2200000000012</v>
      </c>
      <c r="Y39" s="4"/>
      <c r="Z39" s="32">
        <f t="shared" ref="Z39:Z48" si="26">IF(T39=0,0,X39/T39)</f>
        <v>-0.19669289730953105</v>
      </c>
    </row>
    <row r="40" spans="1:26" s="28" customFormat="1" outlineLevel="1" collapsed="1" x14ac:dyDescent="0.3">
      <c r="A40" s="29"/>
      <c r="B40" s="14" t="str">
        <f>CONCATENATE("     ","*Benefits                                         ")</f>
        <v xml:space="preserve">     *Benefits                                         </v>
      </c>
      <c r="C40" s="14"/>
      <c r="D40" s="1">
        <f>SUM(OSRRefD22_0x_0)</f>
        <v>1377.0500000000002</v>
      </c>
      <c r="E40" s="1"/>
      <c r="F40" s="5">
        <f t="shared" si="19"/>
        <v>3.9304767577969468E-2</v>
      </c>
      <c r="G40" s="1"/>
      <c r="H40" s="1">
        <f>SUM(OSRRefH22_0x_0)</f>
        <v>5610.43</v>
      </c>
      <c r="I40" s="1"/>
      <c r="J40" s="5">
        <f t="shared" si="20"/>
        <v>0.24610041882115968</v>
      </c>
      <c r="K40" s="1"/>
      <c r="L40" s="1">
        <f t="shared" si="21"/>
        <v>-4233.38</v>
      </c>
      <c r="M40" s="1"/>
      <c r="N40" s="5">
        <f t="shared" si="22"/>
        <v>-0.75455535493714387</v>
      </c>
      <c r="O40" s="14"/>
      <c r="P40" s="1">
        <f>SUM(OSRRefP22_0x_0)</f>
        <v>2677.5</v>
      </c>
      <c r="Q40" s="1"/>
      <c r="R40" s="5">
        <f t="shared" si="23"/>
        <v>4.0054716762663353E-2</v>
      </c>
      <c r="S40" s="1"/>
      <c r="T40" s="1">
        <f>SUM(OSRRefT22_0x_0)</f>
        <v>9793.15</v>
      </c>
      <c r="U40" s="1"/>
      <c r="V40" s="5">
        <f t="shared" si="24"/>
        <v>0.19713614464937457</v>
      </c>
      <c r="W40" s="1"/>
      <c r="X40" s="1">
        <f t="shared" si="25"/>
        <v>-7115.65</v>
      </c>
      <c r="Y40" s="1"/>
      <c r="Z40" s="5">
        <f t="shared" si="26"/>
        <v>-0.7265946094974548</v>
      </c>
    </row>
    <row r="41" spans="1:26" s="24" customFormat="1" hidden="1" outlineLevel="2" x14ac:dyDescent="0.3">
      <c r="A41" s="27"/>
      <c r="B41" s="11" t="str">
        <f>CONCATENATE("          ", "6111", " - ", "F.I.C.A.")</f>
        <v xml:space="preserve">          6111 - F.I.C.A.</v>
      </c>
      <c r="C41" s="11"/>
      <c r="D41" s="7">
        <v>391.29</v>
      </c>
      <c r="E41" s="2"/>
      <c r="F41" s="8">
        <f t="shared" si="19"/>
        <v>1.1168485171623159E-2</v>
      </c>
      <c r="G41" s="2"/>
      <c r="H41" s="7">
        <v>868.48</v>
      </c>
      <c r="I41" s="2"/>
      <c r="J41" s="8">
        <f t="shared" si="20"/>
        <v>3.8095705986493152E-2</v>
      </c>
      <c r="K41" s="2"/>
      <c r="L41" s="7">
        <f t="shared" si="21"/>
        <v>-477.19</v>
      </c>
      <c r="M41" s="2"/>
      <c r="N41" s="8">
        <f t="shared" si="22"/>
        <v>-0.54945421886514367</v>
      </c>
      <c r="O41" s="11"/>
      <c r="P41" s="7">
        <v>794.26</v>
      </c>
      <c r="Q41" s="2"/>
      <c r="R41" s="8">
        <f t="shared" si="23"/>
        <v>1.1881926922843322E-2</v>
      </c>
      <c r="S41" s="2"/>
      <c r="T41" s="7">
        <v>1540.63</v>
      </c>
      <c r="U41" s="2"/>
      <c r="V41" s="8">
        <f t="shared" si="24"/>
        <v>3.1012887429597829E-2</v>
      </c>
      <c r="W41" s="2"/>
      <c r="X41" s="7">
        <f t="shared" si="25"/>
        <v>-746.37000000000012</v>
      </c>
      <c r="Y41" s="2"/>
      <c r="Z41" s="8">
        <f t="shared" si="26"/>
        <v>-0.4844576569325536</v>
      </c>
    </row>
    <row r="42" spans="1:26" s="24" customFormat="1" hidden="1" outlineLevel="2" x14ac:dyDescent="0.3">
      <c r="A42" s="27"/>
      <c r="B42" s="11" t="str">
        <f>CONCATENATE("          ", "6112", " - ", "COMPENSATION INSURANCE")</f>
        <v xml:space="preserve">          6112 - COMPENSATION INSURANCE</v>
      </c>
      <c r="C42" s="11"/>
      <c r="D42" s="7">
        <v>47.61</v>
      </c>
      <c r="E42" s="2"/>
      <c r="F42" s="8">
        <f t="shared" si="19"/>
        <v>1.3589194178767118E-3</v>
      </c>
      <c r="G42" s="2"/>
      <c r="H42" s="7">
        <v>383.11</v>
      </c>
      <c r="I42" s="2"/>
      <c r="J42" s="8">
        <f t="shared" si="20"/>
        <v>1.6805045505348875E-2</v>
      </c>
      <c r="K42" s="2"/>
      <c r="L42" s="7">
        <f t="shared" si="21"/>
        <v>-335.5</v>
      </c>
      <c r="M42" s="2"/>
      <c r="N42" s="8">
        <f t="shared" si="22"/>
        <v>-0.87572759781785903</v>
      </c>
      <c r="O42" s="11"/>
      <c r="P42" s="7">
        <v>84.4</v>
      </c>
      <c r="Q42" s="2"/>
      <c r="R42" s="8">
        <f t="shared" si="23"/>
        <v>1.2626024630322267E-3</v>
      </c>
      <c r="S42" s="2"/>
      <c r="T42" s="7">
        <v>612.04</v>
      </c>
      <c r="U42" s="2"/>
      <c r="V42" s="8">
        <f t="shared" si="24"/>
        <v>1.2320367396721505E-2</v>
      </c>
      <c r="W42" s="2"/>
      <c r="X42" s="7">
        <f t="shared" si="25"/>
        <v>-527.64</v>
      </c>
      <c r="Y42" s="2"/>
      <c r="Z42" s="8">
        <f t="shared" si="26"/>
        <v>-0.86210051630612383</v>
      </c>
    </row>
    <row r="43" spans="1:26" s="24" customFormat="1" hidden="1" outlineLevel="2" x14ac:dyDescent="0.3">
      <c r="A43" s="27"/>
      <c r="B43" s="11" t="str">
        <f>CONCATENATE("          ", "6113", " - ", "GROUP INSURANCE")</f>
        <v xml:space="preserve">          6113 - GROUP INSURANCE</v>
      </c>
      <c r="C43" s="11"/>
      <c r="D43" s="7">
        <v>526.70000000000005</v>
      </c>
      <c r="E43" s="2"/>
      <c r="F43" s="8">
        <f t="shared" si="19"/>
        <v>1.5033456362017732E-2</v>
      </c>
      <c r="G43" s="2"/>
      <c r="H43" s="7">
        <v>2714.98</v>
      </c>
      <c r="I43" s="2"/>
      <c r="J43" s="8">
        <f t="shared" si="20"/>
        <v>0.11909206871684917</v>
      </c>
      <c r="K43" s="2"/>
      <c r="L43" s="7">
        <f t="shared" si="21"/>
        <v>-2188.2799999999997</v>
      </c>
      <c r="M43" s="2"/>
      <c r="N43" s="8">
        <f t="shared" si="22"/>
        <v>-0.80600225416025151</v>
      </c>
      <c r="O43" s="11"/>
      <c r="P43" s="7">
        <v>1053.4000000000001</v>
      </c>
      <c r="Q43" s="2"/>
      <c r="R43" s="8">
        <f t="shared" si="23"/>
        <v>1.5758595196186585E-2</v>
      </c>
      <c r="S43" s="2"/>
      <c r="T43" s="7">
        <v>4727.45</v>
      </c>
      <c r="U43" s="2"/>
      <c r="V43" s="8">
        <f t="shared" si="24"/>
        <v>9.5163585467667275E-2</v>
      </c>
      <c r="W43" s="2"/>
      <c r="X43" s="7">
        <f t="shared" si="25"/>
        <v>-3674.0499999999997</v>
      </c>
      <c r="Y43" s="2"/>
      <c r="Z43" s="8">
        <f t="shared" si="26"/>
        <v>-0.77717374060011213</v>
      </c>
    </row>
    <row r="44" spans="1:26" s="24" customFormat="1" hidden="1" outlineLevel="2" x14ac:dyDescent="0.3">
      <c r="A44" s="27"/>
      <c r="B44" s="11" t="str">
        <f>CONCATENATE("          ", "6114", " - ", "STATE UNEMPLOYMENT INSURANCE")</f>
        <v xml:space="preserve">          6114 - STATE UNEMPLOYMENT INSURANCE</v>
      </c>
      <c r="C44" s="11"/>
      <c r="D44" s="7">
        <v>8.36</v>
      </c>
      <c r="E44" s="2"/>
      <c r="F44" s="8">
        <f t="shared" si="19"/>
        <v>2.3861723027618801E-4</v>
      </c>
      <c r="G44" s="2"/>
      <c r="H44" s="7">
        <v>36.020000000000003</v>
      </c>
      <c r="I44" s="2"/>
      <c r="J44" s="8">
        <f t="shared" si="20"/>
        <v>1.5800102819103299E-3</v>
      </c>
      <c r="K44" s="2"/>
      <c r="L44" s="7">
        <f t="shared" si="21"/>
        <v>-27.660000000000004</v>
      </c>
      <c r="M44" s="2"/>
      <c r="N44" s="8">
        <f t="shared" si="22"/>
        <v>-0.76790671848972791</v>
      </c>
      <c r="O44" s="11"/>
      <c r="P44" s="7">
        <v>14.82</v>
      </c>
      <c r="Q44" s="2"/>
      <c r="R44" s="8">
        <f t="shared" si="23"/>
        <v>2.2170341827177251E-4</v>
      </c>
      <c r="S44" s="2"/>
      <c r="T44" s="7">
        <v>59.67</v>
      </c>
      <c r="U44" s="2"/>
      <c r="V44" s="8">
        <f t="shared" si="24"/>
        <v>1.201157314166349E-3</v>
      </c>
      <c r="W44" s="2"/>
      <c r="X44" s="7">
        <f t="shared" si="25"/>
        <v>-44.85</v>
      </c>
      <c r="Y44" s="2"/>
      <c r="Z44" s="8">
        <f t="shared" si="26"/>
        <v>-0.75163398692810457</v>
      </c>
    </row>
    <row r="45" spans="1:26" s="24" customFormat="1" hidden="1" outlineLevel="2" x14ac:dyDescent="0.3">
      <c r="A45" s="27"/>
      <c r="B45" s="11" t="str">
        <f>CONCATENATE("          ", "6115", " - ", "P.E.R.S.")</f>
        <v xml:space="preserve">          6115 - P.E.R.S.</v>
      </c>
      <c r="C45" s="11"/>
      <c r="D45" s="7">
        <v>88.89</v>
      </c>
      <c r="E45" s="2"/>
      <c r="F45" s="8">
        <f t="shared" si="19"/>
        <v>2.537163349192626E-3</v>
      </c>
      <c r="G45" s="2"/>
      <c r="H45" s="7">
        <v>362.12</v>
      </c>
      <c r="I45" s="2"/>
      <c r="J45" s="8">
        <f t="shared" si="20"/>
        <v>1.5884323245013012E-2</v>
      </c>
      <c r="K45" s="2"/>
      <c r="L45" s="7">
        <f t="shared" si="21"/>
        <v>-273.23</v>
      </c>
      <c r="M45" s="2"/>
      <c r="N45" s="8">
        <f t="shared" si="22"/>
        <v>-0.75452888545233632</v>
      </c>
      <c r="O45" s="11"/>
      <c r="P45" s="7">
        <v>177.78</v>
      </c>
      <c r="Q45" s="2"/>
      <c r="R45" s="8">
        <f t="shared" si="23"/>
        <v>2.6595434345719105E-3</v>
      </c>
      <c r="S45" s="2"/>
      <c r="T45" s="7">
        <v>905.3</v>
      </c>
      <c r="U45" s="2"/>
      <c r="V45" s="8">
        <f t="shared" si="24"/>
        <v>1.8223692249284325E-2</v>
      </c>
      <c r="W45" s="2"/>
      <c r="X45" s="7">
        <f t="shared" si="25"/>
        <v>-727.52</v>
      </c>
      <c r="Y45" s="2"/>
      <c r="Z45" s="8">
        <f t="shared" si="26"/>
        <v>-0.80362310836186901</v>
      </c>
    </row>
    <row r="46" spans="1:26" s="24" customFormat="1" hidden="1" outlineLevel="2" x14ac:dyDescent="0.3">
      <c r="A46" s="27"/>
      <c r="B46" s="11" t="str">
        <f>CONCATENATE("          ", "6118", " - ", "VACATION")</f>
        <v xml:space="preserve">          6118 - VACATION</v>
      </c>
      <c r="C46" s="11"/>
      <c r="D46" s="7">
        <v>85.64</v>
      </c>
      <c r="E46" s="2"/>
      <c r="F46" s="8">
        <f t="shared" si="19"/>
        <v>2.4443994737862133E-3</v>
      </c>
      <c r="G46" s="2"/>
      <c r="H46" s="7">
        <v>498.76</v>
      </c>
      <c r="I46" s="2"/>
      <c r="J46" s="8">
        <f t="shared" si="20"/>
        <v>2.1878010222254194E-2</v>
      </c>
      <c r="K46" s="2"/>
      <c r="L46" s="7">
        <f t="shared" si="21"/>
        <v>-413.12</v>
      </c>
      <c r="M46" s="2"/>
      <c r="N46" s="8">
        <f t="shared" si="22"/>
        <v>-0.82829416954046031</v>
      </c>
      <c r="O46" s="11"/>
      <c r="P46" s="7">
        <v>171.28</v>
      </c>
      <c r="Q46" s="2"/>
      <c r="R46" s="8">
        <f t="shared" si="23"/>
        <v>2.5623050932246419E-3</v>
      </c>
      <c r="S46" s="2"/>
      <c r="T46" s="7">
        <v>901.27</v>
      </c>
      <c r="U46" s="2"/>
      <c r="V46" s="8">
        <f t="shared" si="24"/>
        <v>1.8142568334819933E-2</v>
      </c>
      <c r="W46" s="2"/>
      <c r="X46" s="7">
        <f t="shared" si="25"/>
        <v>-729.99</v>
      </c>
      <c r="Y46" s="2"/>
      <c r="Z46" s="8">
        <f t="shared" si="26"/>
        <v>-0.80995706059227535</v>
      </c>
    </row>
    <row r="47" spans="1:26" s="24" customFormat="1" hidden="1" outlineLevel="2" x14ac:dyDescent="0.3">
      <c r="A47" s="27"/>
      <c r="B47" s="11" t="str">
        <f>CONCATENATE("          ", "6119", " - ", "SICK LEAVE")</f>
        <v xml:space="preserve">          6119 - SICK LEAVE</v>
      </c>
      <c r="C47" s="11"/>
      <c r="D47" s="7">
        <v>54.02</v>
      </c>
      <c r="E47" s="2"/>
      <c r="F47" s="8">
        <f t="shared" si="19"/>
        <v>1.5418783229090524E-3</v>
      </c>
      <c r="G47" s="2"/>
      <c r="H47" s="7">
        <v>446.7</v>
      </c>
      <c r="I47" s="2"/>
      <c r="J47" s="8">
        <f t="shared" si="20"/>
        <v>1.9594408465556476E-2</v>
      </c>
      <c r="K47" s="2"/>
      <c r="L47" s="7">
        <f t="shared" si="21"/>
        <v>-392.68</v>
      </c>
      <c r="M47" s="2"/>
      <c r="N47" s="8">
        <f t="shared" si="22"/>
        <v>-0.87906872621446164</v>
      </c>
      <c r="O47" s="11"/>
      <c r="P47" s="7">
        <v>108.04</v>
      </c>
      <c r="Q47" s="2"/>
      <c r="R47" s="8">
        <f t="shared" si="23"/>
        <v>1.6162508306398315E-3</v>
      </c>
      <c r="S47" s="2"/>
      <c r="T47" s="7">
        <v>670.05</v>
      </c>
      <c r="U47" s="2"/>
      <c r="V47" s="8">
        <f t="shared" si="24"/>
        <v>1.3488108904929815E-2</v>
      </c>
      <c r="W47" s="2"/>
      <c r="X47" s="7">
        <f t="shared" si="25"/>
        <v>-562.01</v>
      </c>
      <c r="Y47" s="2"/>
      <c r="Z47" s="8">
        <f t="shared" si="26"/>
        <v>-0.83875830161928222</v>
      </c>
    </row>
    <row r="48" spans="1:26" s="24" customFormat="1" hidden="1" outlineLevel="2" x14ac:dyDescent="0.3">
      <c r="A48" s="27"/>
      <c r="B48" s="11" t="str">
        <f>CONCATENATE("          ", "6156", " - ", "EMPLOYEE MEALS")</f>
        <v xml:space="preserve">          6156 - EMPLOYEE MEALS</v>
      </c>
      <c r="C48" s="11"/>
      <c r="D48" s="7">
        <v>174.54</v>
      </c>
      <c r="E48" s="2"/>
      <c r="F48" s="8">
        <f t="shared" si="19"/>
        <v>4.9818482502877815E-3</v>
      </c>
      <c r="G48" s="2"/>
      <c r="H48" s="7">
        <v>300.26</v>
      </c>
      <c r="I48" s="2"/>
      <c r="J48" s="8">
        <f t="shared" si="20"/>
        <v>1.317084639773447E-2</v>
      </c>
      <c r="K48" s="2"/>
      <c r="L48" s="7">
        <f t="shared" si="21"/>
        <v>-125.72</v>
      </c>
      <c r="M48" s="2"/>
      <c r="N48" s="8">
        <f t="shared" si="22"/>
        <v>-0.41870379004862451</v>
      </c>
      <c r="O48" s="11"/>
      <c r="P48" s="7">
        <v>273.52</v>
      </c>
      <c r="Q48" s="2"/>
      <c r="R48" s="8">
        <f t="shared" si="23"/>
        <v>4.0917894038930641E-3</v>
      </c>
      <c r="S48" s="2"/>
      <c r="T48" s="7">
        <v>376.74</v>
      </c>
      <c r="U48" s="2"/>
      <c r="V48" s="8">
        <f t="shared" si="24"/>
        <v>7.5837775521875369E-3</v>
      </c>
      <c r="W48" s="2"/>
      <c r="X48" s="7">
        <f t="shared" si="25"/>
        <v>-103.22000000000003</v>
      </c>
      <c r="Y48" s="2"/>
      <c r="Z48" s="8">
        <f t="shared" si="26"/>
        <v>-0.27398205659075231</v>
      </c>
    </row>
    <row r="49" spans="1:26" s="28" customFormat="1" outlineLevel="1" collapsed="1" x14ac:dyDescent="0.3">
      <c r="A49" s="29"/>
      <c r="B49" s="14" t="str">
        <f>CONCATENATE("     ","*Payroll                                          ")</f>
        <v xml:space="preserve">     *Payroll                                          </v>
      </c>
      <c r="C49" s="14"/>
      <c r="D49" s="1">
        <f>SUM(OSRRefD22_1x_0)</f>
        <v>5592.55</v>
      </c>
      <c r="E49" s="1"/>
      <c r="F49" s="5">
        <f t="shared" ref="F49:F54" si="27">IF(D$12=0,0,D49/D$12)</f>
        <v>0.15962664966281045</v>
      </c>
      <c r="G49" s="1"/>
      <c r="H49" s="1">
        <f>SUM(OSRRefH22_1x_0)</f>
        <v>4729.9399999999996</v>
      </c>
      <c r="I49" s="1"/>
      <c r="J49" s="5">
        <f t="shared" ref="J49:J54" si="28">IF(H$12=0,0,H49/H$12)</f>
        <v>0.20747789652467921</v>
      </c>
      <c r="K49" s="1"/>
      <c r="L49" s="1">
        <f t="shared" ref="L49:L54" si="29">+D49-H49</f>
        <v>862.61000000000058</v>
      </c>
      <c r="M49" s="1"/>
      <c r="N49" s="5">
        <f t="shared" ref="N49:N54" si="30">IF(H49=0,0,L49/H49)</f>
        <v>0.18237229224895044</v>
      </c>
      <c r="O49" s="14"/>
      <c r="P49" s="1">
        <f>SUM(OSRRefP22_1x_0)</f>
        <v>12132.23</v>
      </c>
      <c r="Q49" s="1"/>
      <c r="R49" s="5">
        <f t="shared" ref="R49:R54" si="31">IF(P$12=0,0,P49/P$12)</f>
        <v>0.18149506492978046</v>
      </c>
      <c r="S49" s="1"/>
      <c r="T49" s="1">
        <f>SUM(OSRRefT22_1x_0)</f>
        <v>15748.64</v>
      </c>
      <c r="U49" s="1"/>
      <c r="V49" s="5">
        <f t="shared" ref="V49:V54" si="32">IF(T$12=0,0,T49/T$12)</f>
        <v>0.31702017972469798</v>
      </c>
      <c r="W49" s="1"/>
      <c r="X49" s="1">
        <f t="shared" ref="X49:X54" si="33">+P49-T49</f>
        <v>-3616.41</v>
      </c>
      <c r="Y49" s="1"/>
      <c r="Z49" s="5">
        <f t="shared" ref="Z49:Z54" si="34">IF(T49=0,0,X49/T49)</f>
        <v>-0.2296331619746213</v>
      </c>
    </row>
    <row r="50" spans="1:26" s="24" customFormat="1" hidden="1" outlineLevel="2" x14ac:dyDescent="0.3">
      <c r="A50" s="27"/>
      <c r="B50" s="11" t="str">
        <f>CONCATENATE("          ", "6002", " - ", "STAFF SALARIES")</f>
        <v xml:space="preserve">          6002 - STAFF SALARIES</v>
      </c>
      <c r="C50" s="11"/>
      <c r="D50" s="7">
        <v>1171.1600000000001</v>
      </c>
      <c r="E50" s="2"/>
      <c r="F50" s="8">
        <f t="shared" si="27"/>
        <v>3.3428104714145979E-2</v>
      </c>
      <c r="G50" s="2"/>
      <c r="H50" s="7">
        <v>4684.62</v>
      </c>
      <c r="I50" s="2"/>
      <c r="J50" s="8">
        <f t="shared" si="28"/>
        <v>0.20548994355476871</v>
      </c>
      <c r="K50" s="2"/>
      <c r="L50" s="7">
        <f t="shared" si="29"/>
        <v>-3513.46</v>
      </c>
      <c r="M50" s="2"/>
      <c r="N50" s="8">
        <f t="shared" si="30"/>
        <v>-0.74999893267757045</v>
      </c>
      <c r="O50" s="11"/>
      <c r="P50" s="7">
        <v>2576.7600000000002</v>
      </c>
      <c r="Q50" s="2"/>
      <c r="R50" s="8">
        <f t="shared" si="31"/>
        <v>3.8547672069228919E-2</v>
      </c>
      <c r="S50" s="2"/>
      <c r="T50" s="7">
        <v>10540.24</v>
      </c>
      <c r="U50" s="2"/>
      <c r="V50" s="8">
        <f t="shared" si="32"/>
        <v>0.21217506903081479</v>
      </c>
      <c r="W50" s="2"/>
      <c r="X50" s="7">
        <f t="shared" si="33"/>
        <v>-7963.48</v>
      </c>
      <c r="Y50" s="2"/>
      <c r="Z50" s="8">
        <f t="shared" si="34"/>
        <v>-0.75553118335066372</v>
      </c>
    </row>
    <row r="51" spans="1:26" s="24" customFormat="1" hidden="1" outlineLevel="2" x14ac:dyDescent="0.3">
      <c r="A51" s="27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8">
        <f t="shared" si="27"/>
        <v>0</v>
      </c>
      <c r="G51" s="2"/>
      <c r="H51" s="7">
        <v>-2911.56</v>
      </c>
      <c r="I51" s="2"/>
      <c r="J51" s="8">
        <f t="shared" si="28"/>
        <v>-0.12771501211545919</v>
      </c>
      <c r="K51" s="2"/>
      <c r="L51" s="7">
        <f t="shared" si="29"/>
        <v>2911.56</v>
      </c>
      <c r="M51" s="2"/>
      <c r="N51" s="8">
        <f t="shared" si="30"/>
        <v>-1</v>
      </c>
      <c r="O51" s="11"/>
      <c r="P51" s="7">
        <v>231.35</v>
      </c>
      <c r="Q51" s="2"/>
      <c r="R51" s="8">
        <f t="shared" si="31"/>
        <v>3.4609369647216307E-3</v>
      </c>
      <c r="S51" s="2"/>
      <c r="T51" s="7">
        <v>-161.09</v>
      </c>
      <c r="U51" s="2"/>
      <c r="V51" s="8">
        <f t="shared" si="32"/>
        <v>-3.2427422781809482E-3</v>
      </c>
      <c r="W51" s="2"/>
      <c r="X51" s="7">
        <f t="shared" si="33"/>
        <v>392.44</v>
      </c>
      <c r="Y51" s="2"/>
      <c r="Z51" s="8">
        <f t="shared" si="34"/>
        <v>-2.4361537028990004</v>
      </c>
    </row>
    <row r="52" spans="1:26" s="24" customFormat="1" hidden="1" outlineLevel="2" x14ac:dyDescent="0.3">
      <c r="A52" s="27"/>
      <c r="B52" s="11" t="str">
        <f>CONCATENATE("          ", "6005", " - ", "TEMPORARY WAGES-HOURLY")</f>
        <v xml:space="preserve">          6005 - TEMPORARY WAGES-HOURLY</v>
      </c>
      <c r="C52" s="11"/>
      <c r="D52" s="7">
        <v>312.44</v>
      </c>
      <c r="E52" s="2"/>
      <c r="F52" s="8">
        <f t="shared" si="27"/>
        <v>8.9178908406091131E-3</v>
      </c>
      <c r="G52" s="2"/>
      <c r="H52" s="7">
        <v>1087.03</v>
      </c>
      <c r="I52" s="2"/>
      <c r="J52" s="8">
        <f t="shared" si="28"/>
        <v>4.768235915449711E-2</v>
      </c>
      <c r="K52" s="2"/>
      <c r="L52" s="7">
        <f t="shared" si="29"/>
        <v>-774.58999999999992</v>
      </c>
      <c r="M52" s="2"/>
      <c r="N52" s="8">
        <f t="shared" si="30"/>
        <v>-0.71257462995501497</v>
      </c>
      <c r="O52" s="11"/>
      <c r="P52" s="7">
        <v>1663.65</v>
      </c>
      <c r="Q52" s="2"/>
      <c r="R52" s="8">
        <f t="shared" si="31"/>
        <v>2.4887779474212841E-2</v>
      </c>
      <c r="S52" s="2"/>
      <c r="T52" s="7">
        <v>2297.64</v>
      </c>
      <c r="U52" s="2"/>
      <c r="V52" s="8">
        <f t="shared" si="32"/>
        <v>4.6251501446642702E-2</v>
      </c>
      <c r="W52" s="2"/>
      <c r="X52" s="7">
        <f t="shared" si="33"/>
        <v>-633.98999999999978</v>
      </c>
      <c r="Y52" s="2"/>
      <c r="Z52" s="8">
        <f t="shared" si="34"/>
        <v>-0.27593095524102984</v>
      </c>
    </row>
    <row r="53" spans="1:26" s="24" customFormat="1" hidden="1" outlineLevel="2" x14ac:dyDescent="0.3">
      <c r="A53" s="27"/>
      <c r="B53" s="11" t="str">
        <f>CONCATENATE("          ", "6007", " - ", "STUDENT HOURLY")</f>
        <v xml:space="preserve">          6007 - STUDENT HOURLY</v>
      </c>
      <c r="C53" s="11"/>
      <c r="D53" s="7">
        <v>3961.11</v>
      </c>
      <c r="E53" s="2"/>
      <c r="F53" s="8">
        <f t="shared" si="27"/>
        <v>0.11306089677264487</v>
      </c>
      <c r="G53" s="2"/>
      <c r="H53" s="7">
        <v>1775.86</v>
      </c>
      <c r="I53" s="2"/>
      <c r="J53" s="8">
        <f t="shared" si="28"/>
        <v>7.7897752893761191E-2</v>
      </c>
      <c r="K53" s="2"/>
      <c r="L53" s="7">
        <f t="shared" si="29"/>
        <v>2185.25</v>
      </c>
      <c r="M53" s="2"/>
      <c r="N53" s="8">
        <f t="shared" si="30"/>
        <v>1.2305305598414291</v>
      </c>
      <c r="O53" s="11"/>
      <c r="P53" s="7">
        <v>7218.88</v>
      </c>
      <c r="Q53" s="2"/>
      <c r="R53" s="8">
        <f t="shared" si="31"/>
        <v>0.10799260270538009</v>
      </c>
      <c r="S53" s="2"/>
      <c r="T53" s="7">
        <v>2977.86</v>
      </c>
      <c r="U53" s="2"/>
      <c r="V53" s="8">
        <f t="shared" si="32"/>
        <v>5.994433248807448E-2</v>
      </c>
      <c r="W53" s="2"/>
      <c r="X53" s="7">
        <f t="shared" si="33"/>
        <v>4241.0200000000004</v>
      </c>
      <c r="Y53" s="2"/>
      <c r="Z53" s="8">
        <f t="shared" si="34"/>
        <v>1.4241838098500266</v>
      </c>
    </row>
    <row r="54" spans="1:26" s="24" customFormat="1" hidden="1" outlineLevel="2" x14ac:dyDescent="0.3">
      <c r="A54" s="27"/>
      <c r="B54" s="11" t="str">
        <f>CONCATENATE("          ", "6008", " - ", "STUDENT HOURLY-FICA EXEMPT")</f>
        <v xml:space="preserve">          6008 - STUDENT HOURLY-FICA EXEMPT</v>
      </c>
      <c r="C54" s="11"/>
      <c r="D54" s="7">
        <v>147.84</v>
      </c>
      <c r="E54" s="2"/>
      <c r="F54" s="8">
        <f t="shared" si="27"/>
        <v>4.2197573354104826E-3</v>
      </c>
      <c r="G54" s="2"/>
      <c r="H54" s="7">
        <v>93.99</v>
      </c>
      <c r="I54" s="2"/>
      <c r="J54" s="8">
        <f t="shared" si="28"/>
        <v>4.1228530371113792E-3</v>
      </c>
      <c r="K54" s="2"/>
      <c r="L54" s="7">
        <f t="shared" si="29"/>
        <v>53.850000000000009</v>
      </c>
      <c r="M54" s="2"/>
      <c r="N54" s="8">
        <f t="shared" si="30"/>
        <v>0.5729332907756145</v>
      </c>
      <c r="O54" s="11"/>
      <c r="P54" s="7">
        <v>441.59</v>
      </c>
      <c r="Q54" s="2"/>
      <c r="R54" s="8">
        <f t="shared" si="31"/>
        <v>6.6060737162369773E-3</v>
      </c>
      <c r="S54" s="2"/>
      <c r="T54" s="7">
        <v>93.99</v>
      </c>
      <c r="U54" s="2"/>
      <c r="V54" s="8">
        <f t="shared" si="32"/>
        <v>1.8920190373469942E-3</v>
      </c>
      <c r="W54" s="2"/>
      <c r="X54" s="7">
        <f t="shared" si="33"/>
        <v>347.59999999999997</v>
      </c>
      <c r="Y54" s="2"/>
      <c r="Z54" s="8">
        <f t="shared" si="34"/>
        <v>3.6982657729545694</v>
      </c>
    </row>
    <row r="55" spans="1:26" s="28" customFormat="1" outlineLevel="1" collapsed="1" x14ac:dyDescent="0.3">
      <c r="A55" s="29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195</v>
      </c>
      <c r="E55" s="1"/>
      <c r="F55" s="5">
        <f t="shared" ref="F55:F73" si="35">IF(D$12=0,0,D55/D$12)</f>
        <v>5.565832524384768E-3</v>
      </c>
      <c r="G55" s="1"/>
      <c r="H55" s="1">
        <f>SUM(OSRRefH22_2x_0)</f>
        <v>0</v>
      </c>
      <c r="I55" s="1"/>
      <c r="J55" s="5">
        <f t="shared" ref="J55:J73" si="36">IF(H$12=0,0,H55/H$12)</f>
        <v>0</v>
      </c>
      <c r="K55" s="1"/>
      <c r="L55" s="1">
        <f t="shared" ref="L55:L73" si="37">+D55-H55</f>
        <v>195</v>
      </c>
      <c r="M55" s="1"/>
      <c r="N55" s="5">
        <f t="shared" ref="N55:N73" si="38">IF(H55=0,0,L55/H55)</f>
        <v>0</v>
      </c>
      <c r="O55" s="14"/>
      <c r="P55" s="1">
        <f>SUM(OSRRefP22_2x_0)</f>
        <v>390</v>
      </c>
      <c r="Q55" s="1"/>
      <c r="R55" s="5">
        <f t="shared" ref="R55:R73" si="39">IF(P$12=0,0,P55/P$12)</f>
        <v>5.834300480836118E-3</v>
      </c>
      <c r="S55" s="1"/>
      <c r="T55" s="1">
        <f>SUM(OSRRefT22_2x_0)</f>
        <v>0</v>
      </c>
      <c r="U55" s="1"/>
      <c r="V55" s="5">
        <f t="shared" ref="V55:V73" si="40">IF(T$12=0,0,T55/T$12)</f>
        <v>0</v>
      </c>
      <c r="W55" s="1"/>
      <c r="X55" s="1">
        <f t="shared" ref="X55:X73" si="41">+P55-T55</f>
        <v>390</v>
      </c>
      <c r="Y55" s="1"/>
      <c r="Z55" s="5">
        <f t="shared" ref="Z55:Z73" si="42">IF(T55=0,0,X55/T55)</f>
        <v>0</v>
      </c>
    </row>
    <row r="56" spans="1:26" s="24" customFormat="1" hidden="1" outlineLevel="2" x14ac:dyDescent="0.3">
      <c r="A56" s="27"/>
      <c r="B56" s="11" t="str">
        <f>CONCATENATE("          ", "6362", " - ", "ADVERTISING EXPENSE")</f>
        <v xml:space="preserve">          6362 - ADVERTISING EXPENSE</v>
      </c>
      <c r="C56" s="11"/>
      <c r="D56" s="7">
        <v>195</v>
      </c>
      <c r="E56" s="2"/>
      <c r="F56" s="8">
        <f t="shared" si="35"/>
        <v>5.565832524384768E-3</v>
      </c>
      <c r="G56" s="2"/>
      <c r="H56" s="7"/>
      <c r="I56" s="2"/>
      <c r="J56" s="8">
        <f t="shared" si="36"/>
        <v>0</v>
      </c>
      <c r="K56" s="2"/>
      <c r="L56" s="7">
        <f t="shared" si="37"/>
        <v>195</v>
      </c>
      <c r="M56" s="2"/>
      <c r="N56" s="8">
        <f t="shared" si="38"/>
        <v>0</v>
      </c>
      <c r="O56" s="11"/>
      <c r="P56" s="7">
        <v>390</v>
      </c>
      <c r="Q56" s="2"/>
      <c r="R56" s="8">
        <f t="shared" si="39"/>
        <v>5.834300480836118E-3</v>
      </c>
      <c r="S56" s="2"/>
      <c r="T56" s="7"/>
      <c r="U56" s="2"/>
      <c r="V56" s="8">
        <f t="shared" si="40"/>
        <v>0</v>
      </c>
      <c r="W56" s="2"/>
      <c r="X56" s="7">
        <f t="shared" si="41"/>
        <v>390</v>
      </c>
      <c r="Y56" s="2"/>
      <c r="Z56" s="8">
        <f t="shared" si="42"/>
        <v>0</v>
      </c>
    </row>
    <row r="57" spans="1:26" s="28" customFormat="1" outlineLevel="1" collapsed="1" x14ac:dyDescent="0.3">
      <c r="A57" s="29"/>
      <c r="B57" s="14" t="str">
        <f>CONCATENATE("     ","Bad Debts/Over/Short                              ")</f>
        <v xml:space="preserve">     Bad Debts/Over/Short                              </v>
      </c>
      <c r="C57" s="14"/>
      <c r="D57" s="1">
        <f>SUM(OSRRefD22_3x_0)</f>
        <v>7.0000000000000007E-2</v>
      </c>
      <c r="E57" s="1"/>
      <c r="F57" s="5">
        <f t="shared" si="35"/>
        <v>1.9979911625996605E-6</v>
      </c>
      <c r="G57" s="1"/>
      <c r="H57" s="1">
        <f>SUM(OSRRefH22_3x_0)</f>
        <v>4.5599999999999996</v>
      </c>
      <c r="I57" s="1"/>
      <c r="J57" s="5">
        <f t="shared" si="36"/>
        <v>2.0002351153556645E-4</v>
      </c>
      <c r="K57" s="1"/>
      <c r="L57" s="1">
        <f t="shared" si="37"/>
        <v>-4.4899999999999993</v>
      </c>
      <c r="M57" s="1"/>
      <c r="N57" s="5">
        <f t="shared" si="38"/>
        <v>-0.98464912280701744</v>
      </c>
      <c r="O57" s="14"/>
      <c r="P57" s="1">
        <f>SUM(OSRRefP22_3x_0)</f>
        <v>0.67</v>
      </c>
      <c r="Q57" s="1"/>
      <c r="R57" s="5">
        <f t="shared" si="39"/>
        <v>1.0023029031179999E-5</v>
      </c>
      <c r="S57" s="1"/>
      <c r="T57" s="1">
        <f>SUM(OSRRefT22_3x_0)</f>
        <v>3.66</v>
      </c>
      <c r="U57" s="1"/>
      <c r="V57" s="5">
        <f t="shared" si="40"/>
        <v>7.3675813136397477E-5</v>
      </c>
      <c r="W57" s="1"/>
      <c r="X57" s="1">
        <f t="shared" si="41"/>
        <v>-2.99</v>
      </c>
      <c r="Y57" s="1"/>
      <c r="Z57" s="5">
        <f t="shared" si="42"/>
        <v>-0.81693989071038253</v>
      </c>
    </row>
    <row r="58" spans="1:26" s="24" customFormat="1" hidden="1" outlineLevel="2" x14ac:dyDescent="0.3">
      <c r="A58" s="27"/>
      <c r="B58" s="11" t="str">
        <f>CONCATENATE("          ", "6272", " - ", "CASH (OVER/SHORT)")</f>
        <v xml:space="preserve">          6272 - CASH (OVER/SHORT)</v>
      </c>
      <c r="C58" s="11"/>
      <c r="D58" s="7">
        <v>7.0000000000000007E-2</v>
      </c>
      <c r="E58" s="2"/>
      <c r="F58" s="8">
        <f t="shared" si="35"/>
        <v>1.9979911625996605E-6</v>
      </c>
      <c r="G58" s="2"/>
      <c r="H58" s="7">
        <v>4.5599999999999996</v>
      </c>
      <c r="I58" s="2"/>
      <c r="J58" s="8">
        <f t="shared" si="36"/>
        <v>2.0002351153556645E-4</v>
      </c>
      <c r="K58" s="2"/>
      <c r="L58" s="7">
        <f t="shared" si="37"/>
        <v>-4.4899999999999993</v>
      </c>
      <c r="M58" s="2"/>
      <c r="N58" s="8">
        <f t="shared" si="38"/>
        <v>-0.98464912280701744</v>
      </c>
      <c r="O58" s="11"/>
      <c r="P58" s="7">
        <v>0.67</v>
      </c>
      <c r="Q58" s="2"/>
      <c r="R58" s="8">
        <f t="shared" si="39"/>
        <v>1.0023029031179999E-5</v>
      </c>
      <c r="S58" s="2"/>
      <c r="T58" s="7">
        <v>3.66</v>
      </c>
      <c r="U58" s="2"/>
      <c r="V58" s="8">
        <f t="shared" si="40"/>
        <v>7.3675813136397477E-5</v>
      </c>
      <c r="W58" s="2"/>
      <c r="X58" s="7">
        <f t="shared" si="41"/>
        <v>-2.99</v>
      </c>
      <c r="Y58" s="2"/>
      <c r="Z58" s="8">
        <f t="shared" si="42"/>
        <v>-0.81693989071038253</v>
      </c>
    </row>
    <row r="59" spans="1:26" s="28" customFormat="1" outlineLevel="1" collapsed="1" x14ac:dyDescent="0.3">
      <c r="A59" s="29"/>
      <c r="B59" s="14" t="str">
        <f>CONCATENATE("     ","Bank/card Fees                                    ")</f>
        <v xml:space="preserve">     Bank/card Fees                                    </v>
      </c>
      <c r="C59" s="14"/>
      <c r="D59" s="1">
        <f>SUM(OSRRefD22_4x_0)</f>
        <v>614.21</v>
      </c>
      <c r="E59" s="1"/>
      <c r="F59" s="5">
        <f t="shared" si="35"/>
        <v>1.7531230742576249E-2</v>
      </c>
      <c r="G59" s="1"/>
      <c r="H59" s="1">
        <f>SUM(OSRRefH22_4x_0)</f>
        <v>452.83</v>
      </c>
      <c r="I59" s="1"/>
      <c r="J59" s="5">
        <f t="shared" si="36"/>
        <v>1.9863299721195299E-2</v>
      </c>
      <c r="K59" s="1"/>
      <c r="L59" s="1">
        <f t="shared" si="37"/>
        <v>161.38000000000005</v>
      </c>
      <c r="M59" s="1"/>
      <c r="N59" s="5">
        <f t="shared" si="38"/>
        <v>0.35638098182540923</v>
      </c>
      <c r="O59" s="14"/>
      <c r="P59" s="1">
        <f>SUM(OSRRefP22_4x_0)</f>
        <v>1106.53</v>
      </c>
      <c r="Q59" s="1"/>
      <c r="R59" s="5">
        <f t="shared" si="39"/>
        <v>1.6553406438614332E-2</v>
      </c>
      <c r="S59" s="1"/>
      <c r="T59" s="1">
        <f>SUM(OSRRefT22_4x_0)</f>
        <v>759.72</v>
      </c>
      <c r="U59" s="1"/>
      <c r="V59" s="5">
        <f t="shared" si="40"/>
        <v>1.5293166326771555E-2</v>
      </c>
      <c r="W59" s="1"/>
      <c r="X59" s="1">
        <f t="shared" si="41"/>
        <v>346.80999999999995</v>
      </c>
      <c r="Y59" s="1"/>
      <c r="Z59" s="5">
        <f t="shared" si="42"/>
        <v>0.4564971305217711</v>
      </c>
    </row>
    <row r="60" spans="1:26" s="24" customFormat="1" hidden="1" outlineLevel="2" x14ac:dyDescent="0.3">
      <c r="A60" s="27"/>
      <c r="B60" s="11" t="str">
        <f>CONCATENATE("          ", "6381", " - ", "BANK/CREDIT CARD FEES")</f>
        <v xml:space="preserve">          6381 - BANK/CREDIT CARD FEES</v>
      </c>
      <c r="C60" s="11"/>
      <c r="D60" s="7">
        <v>614.21</v>
      </c>
      <c r="E60" s="2"/>
      <c r="F60" s="8">
        <f t="shared" si="35"/>
        <v>1.7531230742576249E-2</v>
      </c>
      <c r="G60" s="2"/>
      <c r="H60" s="7">
        <v>452.83</v>
      </c>
      <c r="I60" s="2"/>
      <c r="J60" s="8">
        <f t="shared" si="36"/>
        <v>1.9863299721195299E-2</v>
      </c>
      <c r="K60" s="2"/>
      <c r="L60" s="7">
        <f t="shared" si="37"/>
        <v>161.38000000000005</v>
      </c>
      <c r="M60" s="2"/>
      <c r="N60" s="8">
        <f t="shared" si="38"/>
        <v>0.35638098182540923</v>
      </c>
      <c r="O60" s="11"/>
      <c r="P60" s="7">
        <v>1106.53</v>
      </c>
      <c r="Q60" s="2"/>
      <c r="R60" s="8">
        <f t="shared" si="39"/>
        <v>1.6553406438614332E-2</v>
      </c>
      <c r="S60" s="2"/>
      <c r="T60" s="7">
        <v>759.72</v>
      </c>
      <c r="U60" s="2"/>
      <c r="V60" s="8">
        <f t="shared" si="40"/>
        <v>1.5293166326771555E-2</v>
      </c>
      <c r="W60" s="2"/>
      <c r="X60" s="7">
        <f t="shared" si="41"/>
        <v>346.80999999999995</v>
      </c>
      <c r="Y60" s="2"/>
      <c r="Z60" s="8">
        <f t="shared" si="42"/>
        <v>0.4564971305217711</v>
      </c>
    </row>
    <row r="61" spans="1:26" s="28" customFormat="1" outlineLevel="1" collapsed="1" x14ac:dyDescent="0.3">
      <c r="A61" s="29"/>
      <c r="B61" s="14" t="str">
        <f>CONCATENATE("     ","Discounts and Markdowns                           ")</f>
        <v xml:space="preserve">     Discounts and Markdowns                           </v>
      </c>
      <c r="C61" s="14"/>
      <c r="D61" s="1">
        <f>SUM(OSRRefD22_5x_0)</f>
        <v>0</v>
      </c>
      <c r="E61" s="1"/>
      <c r="F61" s="5">
        <f t="shared" si="35"/>
        <v>0</v>
      </c>
      <c r="G61" s="1"/>
      <c r="H61" s="1">
        <f>SUM(OSRRefH22_5x_0)</f>
        <v>0</v>
      </c>
      <c r="I61" s="1"/>
      <c r="J61" s="5">
        <f t="shared" si="36"/>
        <v>0</v>
      </c>
      <c r="K61" s="1"/>
      <c r="L61" s="1">
        <f t="shared" si="37"/>
        <v>0</v>
      </c>
      <c r="M61" s="1"/>
      <c r="N61" s="5">
        <f t="shared" si="38"/>
        <v>0</v>
      </c>
      <c r="O61" s="14"/>
      <c r="P61" s="1">
        <f>SUM(OSRRefP22_5x_0)</f>
        <v>0</v>
      </c>
      <c r="Q61" s="1"/>
      <c r="R61" s="5">
        <f t="shared" si="39"/>
        <v>0</v>
      </c>
      <c r="S61" s="1"/>
      <c r="T61" s="1">
        <f>SUM(OSRRefT22_5x_0)</f>
        <v>0</v>
      </c>
      <c r="U61" s="1"/>
      <c r="V61" s="5">
        <f t="shared" si="40"/>
        <v>0</v>
      </c>
      <c r="W61" s="1"/>
      <c r="X61" s="1">
        <f t="shared" si="41"/>
        <v>0</v>
      </c>
      <c r="Y61" s="1"/>
      <c r="Z61" s="5">
        <f t="shared" si="42"/>
        <v>0</v>
      </c>
    </row>
    <row r="62" spans="1:26" s="24" customFormat="1" hidden="1" outlineLevel="2" x14ac:dyDescent="0.3">
      <c r="A62" s="27"/>
      <c r="B62" s="11" t="str">
        <f>CONCATENATE("          ", "6382", " - ", "DISCOUNTS/MARK DOWNS")</f>
        <v xml:space="preserve">          6382 - DISCOUNTS/MARK DOWNS</v>
      </c>
      <c r="C62" s="11"/>
      <c r="D62" s="7"/>
      <c r="E62" s="2"/>
      <c r="F62" s="8">
        <f t="shared" si="35"/>
        <v>0</v>
      </c>
      <c r="G62" s="2"/>
      <c r="H62" s="7">
        <v>0</v>
      </c>
      <c r="I62" s="2"/>
      <c r="J62" s="8">
        <f t="shared" si="36"/>
        <v>0</v>
      </c>
      <c r="K62" s="2"/>
      <c r="L62" s="7">
        <f t="shared" si="37"/>
        <v>0</v>
      </c>
      <c r="M62" s="2"/>
      <c r="N62" s="8">
        <f t="shared" si="38"/>
        <v>0</v>
      </c>
      <c r="O62" s="11"/>
      <c r="P62" s="7"/>
      <c r="Q62" s="2"/>
      <c r="R62" s="8">
        <f t="shared" si="39"/>
        <v>0</v>
      </c>
      <c r="S62" s="2"/>
      <c r="T62" s="7">
        <v>0</v>
      </c>
      <c r="U62" s="2"/>
      <c r="V62" s="8">
        <f t="shared" si="40"/>
        <v>0</v>
      </c>
      <c r="W62" s="2"/>
      <c r="X62" s="7">
        <f t="shared" si="41"/>
        <v>0</v>
      </c>
      <c r="Y62" s="2"/>
      <c r="Z62" s="8">
        <f t="shared" si="42"/>
        <v>0</v>
      </c>
    </row>
    <row r="63" spans="1:26" s="28" customFormat="1" outlineLevel="1" collapsed="1" x14ac:dyDescent="0.3">
      <c r="A63" s="29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SUM(OSRRefD22_6x_0)</f>
        <v>219.08</v>
      </c>
      <c r="E63" s="1"/>
      <c r="F63" s="5">
        <f t="shared" si="35"/>
        <v>6.2531414843190521E-3</v>
      </c>
      <c r="G63" s="1"/>
      <c r="H63" s="1">
        <f>SUM(OSRRefH22_6x_0)</f>
        <v>161.18</v>
      </c>
      <c r="I63" s="1"/>
      <c r="J63" s="5">
        <f t="shared" si="36"/>
        <v>7.0701292958996942E-3</v>
      </c>
      <c r="K63" s="1"/>
      <c r="L63" s="1">
        <f t="shared" si="37"/>
        <v>57.900000000000006</v>
      </c>
      <c r="M63" s="1"/>
      <c r="N63" s="5">
        <f t="shared" si="38"/>
        <v>0.35922571038590395</v>
      </c>
      <c r="O63" s="14"/>
      <c r="P63" s="1">
        <f>SUM(OSRRefP22_6x_0)</f>
        <v>438.16</v>
      </c>
      <c r="Q63" s="1"/>
      <c r="R63" s="5">
        <f t="shared" si="39"/>
        <v>6.5547617914952661E-3</v>
      </c>
      <c r="S63" s="1"/>
      <c r="T63" s="1">
        <f>SUM(OSRRefT22_6x_0)</f>
        <v>322.36</v>
      </c>
      <c r="U63" s="1"/>
      <c r="V63" s="5">
        <f t="shared" si="40"/>
        <v>6.4891079570079486E-3</v>
      </c>
      <c r="W63" s="1"/>
      <c r="X63" s="1">
        <f t="shared" si="41"/>
        <v>115.80000000000001</v>
      </c>
      <c r="Y63" s="1"/>
      <c r="Z63" s="5">
        <f t="shared" si="42"/>
        <v>0.35922571038590395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7">
        <v>219.08</v>
      </c>
      <c r="E64" s="2"/>
      <c r="F64" s="8">
        <f t="shared" si="35"/>
        <v>6.2531414843190521E-3</v>
      </c>
      <c r="G64" s="2"/>
      <c r="H64" s="7">
        <v>161.18</v>
      </c>
      <c r="I64" s="2"/>
      <c r="J64" s="8">
        <f t="shared" si="36"/>
        <v>7.0701292958996942E-3</v>
      </c>
      <c r="K64" s="2"/>
      <c r="L64" s="7">
        <f t="shared" si="37"/>
        <v>57.900000000000006</v>
      </c>
      <c r="M64" s="2"/>
      <c r="N64" s="8">
        <f t="shared" si="38"/>
        <v>0.35922571038590395</v>
      </c>
      <c r="O64" s="11"/>
      <c r="P64" s="7">
        <v>438.16</v>
      </c>
      <c r="Q64" s="2"/>
      <c r="R64" s="8">
        <f t="shared" si="39"/>
        <v>6.5547617914952661E-3</v>
      </c>
      <c r="S64" s="2"/>
      <c r="T64" s="7">
        <v>322.36</v>
      </c>
      <c r="U64" s="2"/>
      <c r="V64" s="8">
        <f t="shared" si="40"/>
        <v>6.4891079570079486E-3</v>
      </c>
      <c r="W64" s="2"/>
      <c r="X64" s="7">
        <f t="shared" si="41"/>
        <v>115.80000000000001</v>
      </c>
      <c r="Y64" s="2"/>
      <c r="Z64" s="8">
        <f t="shared" si="42"/>
        <v>0.35922571038590395</v>
      </c>
    </row>
    <row r="65" spans="1:26" s="28" customFormat="1" outlineLevel="1" collapsed="1" x14ac:dyDescent="0.3">
      <c r="A65" s="29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</v>
      </c>
      <c r="E65" s="1"/>
      <c r="F65" s="5">
        <f t="shared" si="35"/>
        <v>2.8542730894280861E-3</v>
      </c>
      <c r="G65" s="1"/>
      <c r="H65" s="1">
        <f>SUM(OSRRefH22_7x_0)</f>
        <v>100</v>
      </c>
      <c r="I65" s="1"/>
      <c r="J65" s="5">
        <f t="shared" si="36"/>
        <v>4.3864805161308437E-3</v>
      </c>
      <c r="K65" s="1"/>
      <c r="L65" s="1">
        <f t="shared" si="37"/>
        <v>0</v>
      </c>
      <c r="M65" s="1"/>
      <c r="N65" s="5">
        <f t="shared" si="38"/>
        <v>0</v>
      </c>
      <c r="O65" s="14"/>
      <c r="P65" s="1">
        <f>SUM(OSRRefP22_7x_0)</f>
        <v>200</v>
      </c>
      <c r="Q65" s="1"/>
      <c r="R65" s="5">
        <f t="shared" si="39"/>
        <v>2.9919489645313427E-3</v>
      </c>
      <c r="S65" s="1"/>
      <c r="T65" s="1">
        <f>SUM(OSRRefT22_7x_0)</f>
        <v>200</v>
      </c>
      <c r="U65" s="1"/>
      <c r="V65" s="5">
        <f t="shared" si="40"/>
        <v>4.0260007178359279E-3</v>
      </c>
      <c r="W65" s="1"/>
      <c r="X65" s="1">
        <f t="shared" si="41"/>
        <v>0</v>
      </c>
      <c r="Y65" s="1"/>
      <c r="Z65" s="5">
        <f t="shared" si="42"/>
        <v>0</v>
      </c>
    </row>
    <row r="66" spans="1:26" s="24" customFormat="1" hidden="1" outlineLevel="2" x14ac:dyDescent="0.3">
      <c r="A66" s="27"/>
      <c r="B66" s="11" t="str">
        <f>CONCATENATE("          ", "6408", " - ", "INVENTORY ADJUSTMENT")</f>
        <v xml:space="preserve">          6408 - INVENTORY ADJUSTMENT</v>
      </c>
      <c r="C66" s="11"/>
      <c r="D66" s="7">
        <v>100</v>
      </c>
      <c r="E66" s="2"/>
      <c r="F66" s="8">
        <f t="shared" si="35"/>
        <v>2.8542730894280861E-3</v>
      </c>
      <c r="G66" s="2"/>
      <c r="H66" s="7">
        <v>100</v>
      </c>
      <c r="I66" s="2"/>
      <c r="J66" s="8">
        <f t="shared" si="36"/>
        <v>4.3864805161308437E-3</v>
      </c>
      <c r="K66" s="2"/>
      <c r="L66" s="7">
        <f t="shared" si="37"/>
        <v>0</v>
      </c>
      <c r="M66" s="2"/>
      <c r="N66" s="8">
        <f t="shared" si="38"/>
        <v>0</v>
      </c>
      <c r="O66" s="11"/>
      <c r="P66" s="7">
        <v>200</v>
      </c>
      <c r="Q66" s="2"/>
      <c r="R66" s="8">
        <f t="shared" si="39"/>
        <v>2.9919489645313427E-3</v>
      </c>
      <c r="S66" s="2"/>
      <c r="T66" s="7">
        <v>200</v>
      </c>
      <c r="U66" s="2"/>
      <c r="V66" s="8">
        <f t="shared" si="40"/>
        <v>4.0260007178359279E-3</v>
      </c>
      <c r="W66" s="2"/>
      <c r="X66" s="7">
        <f t="shared" si="41"/>
        <v>0</v>
      </c>
      <c r="Y66" s="2"/>
      <c r="Z66" s="8">
        <f t="shared" si="42"/>
        <v>0</v>
      </c>
    </row>
    <row r="67" spans="1:26" s="28" customFormat="1" outlineLevel="1" collapsed="1" x14ac:dyDescent="0.3">
      <c r="A67" s="29"/>
      <c r="B67" s="14" t="str">
        <f>CONCATENATE("     ","Rent                                              ")</f>
        <v xml:space="preserve">     Rent                                              </v>
      </c>
      <c r="C67" s="14"/>
      <c r="D67" s="1">
        <f>SUM(OSRRefD22_8x_0)</f>
        <v>6900</v>
      </c>
      <c r="E67" s="1"/>
      <c r="F67" s="5">
        <f t="shared" si="35"/>
        <v>0.19694484317053795</v>
      </c>
      <c r="G67" s="1"/>
      <c r="H67" s="1">
        <f>SUM(OSRRefH22_8x_0)</f>
        <v>6900</v>
      </c>
      <c r="I67" s="1"/>
      <c r="J67" s="5">
        <f t="shared" si="36"/>
        <v>0.3026671556130282</v>
      </c>
      <c r="K67" s="1"/>
      <c r="L67" s="1">
        <f t="shared" si="37"/>
        <v>0</v>
      </c>
      <c r="M67" s="1"/>
      <c r="N67" s="5">
        <f t="shared" si="38"/>
        <v>0</v>
      </c>
      <c r="O67" s="14"/>
      <c r="P67" s="1">
        <f>SUM(OSRRefP22_8x_0)</f>
        <v>13800</v>
      </c>
      <c r="Q67" s="1"/>
      <c r="R67" s="5">
        <f t="shared" si="39"/>
        <v>0.20644447855266265</v>
      </c>
      <c r="S67" s="1"/>
      <c r="T67" s="1">
        <f>SUM(OSRRefT22_8x_0)</f>
        <v>13800</v>
      </c>
      <c r="U67" s="1"/>
      <c r="V67" s="5">
        <f t="shared" si="40"/>
        <v>0.27779404953067899</v>
      </c>
      <c r="W67" s="1"/>
      <c r="X67" s="1">
        <f t="shared" si="41"/>
        <v>0</v>
      </c>
      <c r="Y67" s="1"/>
      <c r="Z67" s="5">
        <f t="shared" si="42"/>
        <v>0</v>
      </c>
    </row>
    <row r="68" spans="1:26" s="24" customFormat="1" hidden="1" outlineLevel="2" x14ac:dyDescent="0.3">
      <c r="A68" s="27"/>
      <c r="B68" s="11" t="str">
        <f>CONCATENATE("          ", "6273", " - ", "RENT")</f>
        <v xml:space="preserve">          6273 - RENT</v>
      </c>
      <c r="C68" s="11"/>
      <c r="D68" s="7">
        <v>6900</v>
      </c>
      <c r="E68" s="2"/>
      <c r="F68" s="8">
        <f t="shared" si="35"/>
        <v>0.19694484317053795</v>
      </c>
      <c r="G68" s="2"/>
      <c r="H68" s="7">
        <v>6900</v>
      </c>
      <c r="I68" s="2"/>
      <c r="J68" s="8">
        <f t="shared" si="36"/>
        <v>0.3026671556130282</v>
      </c>
      <c r="K68" s="2"/>
      <c r="L68" s="7">
        <f t="shared" si="37"/>
        <v>0</v>
      </c>
      <c r="M68" s="2"/>
      <c r="N68" s="8">
        <f t="shared" si="38"/>
        <v>0</v>
      </c>
      <c r="O68" s="11"/>
      <c r="P68" s="7">
        <v>13800</v>
      </c>
      <c r="Q68" s="2"/>
      <c r="R68" s="8">
        <f t="shared" si="39"/>
        <v>0.20644447855266265</v>
      </c>
      <c r="S68" s="2"/>
      <c r="T68" s="7">
        <v>13800</v>
      </c>
      <c r="U68" s="2"/>
      <c r="V68" s="8">
        <f t="shared" si="40"/>
        <v>0.27779404953067899</v>
      </c>
      <c r="W68" s="2"/>
      <c r="X68" s="7">
        <f t="shared" si="41"/>
        <v>0</v>
      </c>
      <c r="Y68" s="2"/>
      <c r="Z68" s="8">
        <f t="shared" si="42"/>
        <v>0</v>
      </c>
    </row>
    <row r="69" spans="1:26" s="28" customFormat="1" outlineLevel="1" collapsed="1" x14ac:dyDescent="0.3">
      <c r="A69" s="29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SUM(OSRRefD22_9x_0)</f>
        <v>772.82</v>
      </c>
      <c r="E69" s="1"/>
      <c r="F69" s="5">
        <f t="shared" si="35"/>
        <v>2.2058393289718137E-2</v>
      </c>
      <c r="G69" s="1"/>
      <c r="H69" s="1">
        <f>SUM(OSRRefH22_9x_0)</f>
        <v>0</v>
      </c>
      <c r="I69" s="1"/>
      <c r="J69" s="5">
        <f t="shared" si="36"/>
        <v>0</v>
      </c>
      <c r="K69" s="1"/>
      <c r="L69" s="1">
        <f t="shared" si="37"/>
        <v>772.82</v>
      </c>
      <c r="M69" s="1"/>
      <c r="N69" s="5">
        <f t="shared" si="38"/>
        <v>0</v>
      </c>
      <c r="O69" s="14"/>
      <c r="P69" s="1">
        <f>SUM(OSRRefP22_9x_0)</f>
        <v>772.82</v>
      </c>
      <c r="Q69" s="1"/>
      <c r="R69" s="5">
        <f t="shared" si="39"/>
        <v>1.1561189993845563E-2</v>
      </c>
      <c r="S69" s="1"/>
      <c r="T69" s="1">
        <f>SUM(OSRRefT22_9x_0)</f>
        <v>0</v>
      </c>
      <c r="U69" s="1"/>
      <c r="V69" s="5">
        <f t="shared" si="40"/>
        <v>0</v>
      </c>
      <c r="W69" s="1"/>
      <c r="X69" s="1">
        <f t="shared" si="41"/>
        <v>772.82</v>
      </c>
      <c r="Y69" s="1"/>
      <c r="Z69" s="5">
        <f t="shared" si="42"/>
        <v>0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772.82</v>
      </c>
      <c r="E70" s="2"/>
      <c r="F70" s="8">
        <f t="shared" si="35"/>
        <v>2.2058393289718137E-2</v>
      </c>
      <c r="G70" s="2"/>
      <c r="H70" s="7"/>
      <c r="I70" s="2"/>
      <c r="J70" s="8">
        <f t="shared" si="36"/>
        <v>0</v>
      </c>
      <c r="K70" s="2"/>
      <c r="L70" s="7">
        <f t="shared" si="37"/>
        <v>772.82</v>
      </c>
      <c r="M70" s="2"/>
      <c r="N70" s="8">
        <f t="shared" si="38"/>
        <v>0</v>
      </c>
      <c r="O70" s="11"/>
      <c r="P70" s="7">
        <v>772.82</v>
      </c>
      <c r="Q70" s="2"/>
      <c r="R70" s="8">
        <f t="shared" si="39"/>
        <v>1.1561189993845563E-2</v>
      </c>
      <c r="S70" s="2"/>
      <c r="T70" s="7"/>
      <c r="U70" s="2"/>
      <c r="V70" s="8">
        <f t="shared" si="40"/>
        <v>0</v>
      </c>
      <c r="W70" s="2"/>
      <c r="X70" s="7">
        <f t="shared" si="41"/>
        <v>772.82</v>
      </c>
      <c r="Y70" s="2"/>
      <c r="Z70" s="8">
        <f t="shared" si="42"/>
        <v>0</v>
      </c>
    </row>
    <row r="71" spans="1:26" s="28" customFormat="1" outlineLevel="1" collapsed="1" x14ac:dyDescent="0.3">
      <c r="A71" s="29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SUM(OSRRefD22_10x_0)</f>
        <v>162.72</v>
      </c>
      <c r="E71" s="1"/>
      <c r="F71" s="5">
        <f t="shared" si="35"/>
        <v>4.6444731711173821E-3</v>
      </c>
      <c r="G71" s="1"/>
      <c r="H71" s="1">
        <f>SUM(OSRRefH22_10x_0)</f>
        <v>81.84</v>
      </c>
      <c r="I71" s="1"/>
      <c r="J71" s="5">
        <f t="shared" si="36"/>
        <v>3.5898956544014823E-3</v>
      </c>
      <c r="K71" s="1"/>
      <c r="L71" s="1">
        <f t="shared" si="37"/>
        <v>80.88</v>
      </c>
      <c r="M71" s="1"/>
      <c r="N71" s="5">
        <f t="shared" si="38"/>
        <v>0.98826979472140752</v>
      </c>
      <c r="O71" s="14"/>
      <c r="P71" s="1">
        <f>SUM(OSRRefP22_10x_0)</f>
        <v>318.31</v>
      </c>
      <c r="Q71" s="1"/>
      <c r="R71" s="5">
        <f t="shared" si="39"/>
        <v>4.7618363744998584E-3</v>
      </c>
      <c r="S71" s="1"/>
      <c r="T71" s="1">
        <f>SUM(OSRRefT22_10x_0)</f>
        <v>-251.60000000000002</v>
      </c>
      <c r="U71" s="1"/>
      <c r="V71" s="5">
        <f t="shared" si="40"/>
        <v>-5.0647089030375972E-3</v>
      </c>
      <c r="W71" s="1"/>
      <c r="X71" s="1">
        <f t="shared" si="41"/>
        <v>569.91000000000008</v>
      </c>
      <c r="Y71" s="1"/>
      <c r="Z71" s="5">
        <f t="shared" si="42"/>
        <v>-2.2651430842607314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7">
        <v>149.69999999999999</v>
      </c>
      <c r="E72" s="2"/>
      <c r="F72" s="8">
        <f t="shared" si="35"/>
        <v>4.2728468148738449E-3</v>
      </c>
      <c r="G72" s="2"/>
      <c r="H72" s="7">
        <v>142.57</v>
      </c>
      <c r="I72" s="2"/>
      <c r="J72" s="8">
        <f t="shared" si="36"/>
        <v>6.2538052718477434E-3</v>
      </c>
      <c r="K72" s="2"/>
      <c r="L72" s="7">
        <f t="shared" si="37"/>
        <v>7.1299999999999955</v>
      </c>
      <c r="M72" s="2"/>
      <c r="N72" s="8">
        <f t="shared" si="38"/>
        <v>5.0010521147506461E-2</v>
      </c>
      <c r="O72" s="11"/>
      <c r="P72" s="7">
        <v>292.27</v>
      </c>
      <c r="Q72" s="2"/>
      <c r="R72" s="8">
        <f t="shared" si="39"/>
        <v>4.3722846193178771E-3</v>
      </c>
      <c r="S72" s="2"/>
      <c r="T72" s="7">
        <v>285.14</v>
      </c>
      <c r="U72" s="2"/>
      <c r="V72" s="8">
        <f t="shared" si="40"/>
        <v>5.7398692234186819E-3</v>
      </c>
      <c r="W72" s="2"/>
      <c r="X72" s="7">
        <f t="shared" si="41"/>
        <v>7.1299999999999955</v>
      </c>
      <c r="Y72" s="2"/>
      <c r="Z72" s="8">
        <f t="shared" si="42"/>
        <v>2.500526057375323E-2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7">
        <v>13.02</v>
      </c>
      <c r="E73" s="2"/>
      <c r="F73" s="8">
        <f t="shared" si="35"/>
        <v>3.716263562435368E-4</v>
      </c>
      <c r="G73" s="2"/>
      <c r="H73" s="7">
        <v>-60.73</v>
      </c>
      <c r="I73" s="2"/>
      <c r="J73" s="8">
        <f t="shared" si="36"/>
        <v>-2.6639096174462611E-3</v>
      </c>
      <c r="K73" s="2"/>
      <c r="L73" s="7">
        <f t="shared" si="37"/>
        <v>73.75</v>
      </c>
      <c r="M73" s="2"/>
      <c r="N73" s="8">
        <f t="shared" si="38"/>
        <v>-1.2143915692409024</v>
      </c>
      <c r="O73" s="11"/>
      <c r="P73" s="7">
        <v>26.04</v>
      </c>
      <c r="Q73" s="2"/>
      <c r="R73" s="8">
        <f t="shared" si="39"/>
        <v>3.8955175518198083E-4</v>
      </c>
      <c r="S73" s="2"/>
      <c r="T73" s="7">
        <v>-536.74</v>
      </c>
      <c r="U73" s="2"/>
      <c r="V73" s="8">
        <f t="shared" si="40"/>
        <v>-1.080457812645628E-2</v>
      </c>
      <c r="W73" s="2"/>
      <c r="X73" s="7">
        <f t="shared" si="41"/>
        <v>562.78</v>
      </c>
      <c r="Y73" s="2"/>
      <c r="Z73" s="8">
        <f t="shared" si="42"/>
        <v>-1.0485151097365577</v>
      </c>
    </row>
    <row r="74" spans="1:26" s="28" customFormat="1" outlineLevel="1" collapsed="1" x14ac:dyDescent="0.3">
      <c r="A74" s="29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SUM(OSRRefD22_11x_0)</f>
        <v>0</v>
      </c>
      <c r="E74" s="1"/>
      <c r="F74" s="5">
        <f t="shared" ref="F74:F79" si="43">IF(D$12=0,0,D74/D$12)</f>
        <v>0</v>
      </c>
      <c r="G74" s="1"/>
      <c r="H74" s="1">
        <f>SUM(OSRRefH22_11x_0)</f>
        <v>0</v>
      </c>
      <c r="I74" s="1"/>
      <c r="J74" s="5">
        <f t="shared" ref="J74:J79" si="44">IF(H$12=0,0,H74/H$12)</f>
        <v>0</v>
      </c>
      <c r="K74" s="1"/>
      <c r="L74" s="1">
        <f t="shared" ref="L74:L79" si="45">+D74-H74</f>
        <v>0</v>
      </c>
      <c r="M74" s="1"/>
      <c r="N74" s="5">
        <f t="shared" ref="N74:N79" si="46">IF(H74=0,0,L74/H74)</f>
        <v>0</v>
      </c>
      <c r="O74" s="14"/>
      <c r="P74" s="1">
        <f>SUM(OSRRefP22_11x_0)</f>
        <v>0</v>
      </c>
      <c r="Q74" s="1"/>
      <c r="R74" s="5">
        <f t="shared" ref="R74:R79" si="47">IF(P$12=0,0,P74/P$12)</f>
        <v>0</v>
      </c>
      <c r="S74" s="1"/>
      <c r="T74" s="1">
        <f>SUM(OSRRefT22_11x_0)</f>
        <v>75</v>
      </c>
      <c r="U74" s="1"/>
      <c r="V74" s="5">
        <f t="shared" ref="V74:V79" si="48">IF(T$12=0,0,T74/T$12)</f>
        <v>1.509750269188473E-3</v>
      </c>
      <c r="W74" s="1"/>
      <c r="X74" s="1">
        <f t="shared" ref="X74:X79" si="49">+P74-T74</f>
        <v>-75</v>
      </c>
      <c r="Y74" s="1"/>
      <c r="Z74" s="5">
        <f t="shared" ref="Z74:Z79" si="50">IF(T74=0,0,X74/T74)</f>
        <v>-1</v>
      </c>
    </row>
    <row r="75" spans="1:26" s="24" customFormat="1" hidden="1" outlineLevel="2" x14ac:dyDescent="0.3">
      <c r="A75" s="27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8">
        <f t="shared" si="43"/>
        <v>0</v>
      </c>
      <c r="G75" s="2"/>
      <c r="H75" s="7"/>
      <c r="I75" s="2"/>
      <c r="J75" s="8">
        <f t="shared" si="44"/>
        <v>0</v>
      </c>
      <c r="K75" s="2"/>
      <c r="L75" s="7">
        <f t="shared" si="45"/>
        <v>0</v>
      </c>
      <c r="M75" s="2"/>
      <c r="N75" s="8">
        <f t="shared" si="46"/>
        <v>0</v>
      </c>
      <c r="O75" s="11"/>
      <c r="P75" s="7"/>
      <c r="Q75" s="2"/>
      <c r="R75" s="8">
        <f t="shared" si="47"/>
        <v>0</v>
      </c>
      <c r="S75" s="2"/>
      <c r="T75" s="7">
        <v>75</v>
      </c>
      <c r="U75" s="2"/>
      <c r="V75" s="8">
        <f t="shared" si="48"/>
        <v>1.509750269188473E-3</v>
      </c>
      <c r="W75" s="2"/>
      <c r="X75" s="7">
        <f t="shared" si="49"/>
        <v>-75</v>
      </c>
      <c r="Y75" s="2"/>
      <c r="Z75" s="8">
        <f t="shared" si="50"/>
        <v>-1</v>
      </c>
    </row>
    <row r="76" spans="1:26" s="28" customFormat="1" outlineLevel="1" collapsed="1" x14ac:dyDescent="0.3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SUM(OSRRefD22_12x_0)</f>
        <v>115.64</v>
      </c>
      <c r="E76" s="1"/>
      <c r="F76" s="5">
        <f t="shared" si="43"/>
        <v>3.3006814006146389E-3</v>
      </c>
      <c r="G76" s="1"/>
      <c r="H76" s="1">
        <f>SUM(OSRRefH22_12x_0)</f>
        <v>4.96</v>
      </c>
      <c r="I76" s="1"/>
      <c r="J76" s="5">
        <f t="shared" si="44"/>
        <v>2.1756943360008984E-4</v>
      </c>
      <c r="K76" s="1"/>
      <c r="L76" s="1">
        <f t="shared" si="45"/>
        <v>110.68</v>
      </c>
      <c r="M76" s="1"/>
      <c r="N76" s="5">
        <f t="shared" si="46"/>
        <v>22.31451612903226</v>
      </c>
      <c r="O76" s="14"/>
      <c r="P76" s="1">
        <f>SUM(OSRRefP22_12x_0)</f>
        <v>537.54999999999995</v>
      </c>
      <c r="Q76" s="1"/>
      <c r="R76" s="5">
        <f t="shared" si="47"/>
        <v>8.0416108294191161E-3</v>
      </c>
      <c r="S76" s="1"/>
      <c r="T76" s="1">
        <f>SUM(OSRRefT22_12x_0)</f>
        <v>144.27000000000001</v>
      </c>
      <c r="U76" s="1"/>
      <c r="V76" s="5">
        <f t="shared" si="48"/>
        <v>2.9041556178109468E-3</v>
      </c>
      <c r="W76" s="1"/>
      <c r="X76" s="1">
        <f t="shared" si="49"/>
        <v>393.28</v>
      </c>
      <c r="Y76" s="1"/>
      <c r="Z76" s="5">
        <f t="shared" si="50"/>
        <v>2.7259998613710401</v>
      </c>
    </row>
    <row r="77" spans="1:26" s="24" customFormat="1" hidden="1" outlineLevel="2" x14ac:dyDescent="0.3">
      <c r="A77" s="27"/>
      <c r="B77" s="11" t="str">
        <f>CONCATENATE("          ", "6237", " - ", "JANITORIAL SUPPLIES")</f>
        <v xml:space="preserve">          6237 - JANITORIAL SUPPLIES</v>
      </c>
      <c r="C77" s="11"/>
      <c r="D77" s="7">
        <v>77.17</v>
      </c>
      <c r="E77" s="2"/>
      <c r="F77" s="8">
        <f t="shared" si="43"/>
        <v>2.2026425431116541E-3</v>
      </c>
      <c r="G77" s="2"/>
      <c r="H77" s="7"/>
      <c r="I77" s="2"/>
      <c r="J77" s="8">
        <f t="shared" si="44"/>
        <v>0</v>
      </c>
      <c r="K77" s="2"/>
      <c r="L77" s="7">
        <f t="shared" si="45"/>
        <v>77.17</v>
      </c>
      <c r="M77" s="2"/>
      <c r="N77" s="8">
        <f t="shared" si="46"/>
        <v>0</v>
      </c>
      <c r="O77" s="11"/>
      <c r="P77" s="7">
        <v>77.17</v>
      </c>
      <c r="Q77" s="2"/>
      <c r="R77" s="8">
        <f t="shared" si="47"/>
        <v>1.1544435079644186E-3</v>
      </c>
      <c r="S77" s="2"/>
      <c r="T77" s="7">
        <v>139.31</v>
      </c>
      <c r="U77" s="2"/>
      <c r="V77" s="8">
        <f t="shared" si="48"/>
        <v>2.8043108000086153E-3</v>
      </c>
      <c r="W77" s="2"/>
      <c r="X77" s="7">
        <f t="shared" si="49"/>
        <v>-62.14</v>
      </c>
      <c r="Y77" s="2"/>
      <c r="Z77" s="8">
        <f t="shared" si="50"/>
        <v>-0.44605555954346421</v>
      </c>
    </row>
    <row r="78" spans="1:26" s="24" customFormat="1" hidden="1" outlineLevel="2" x14ac:dyDescent="0.3">
      <c r="A78" s="27"/>
      <c r="B78" s="11" t="str">
        <f>CONCATENATE("          ", "6241", " - ", "OFFICE EXPENSE")</f>
        <v xml:space="preserve">          6241 - OFFICE EXPENSE</v>
      </c>
      <c r="C78" s="11"/>
      <c r="D78" s="7">
        <v>38.47</v>
      </c>
      <c r="E78" s="2"/>
      <c r="F78" s="8">
        <f t="shared" si="43"/>
        <v>1.0980388575029848E-3</v>
      </c>
      <c r="G78" s="2"/>
      <c r="H78" s="7">
        <v>4.96</v>
      </c>
      <c r="I78" s="2"/>
      <c r="J78" s="8">
        <f t="shared" si="44"/>
        <v>2.1756943360008984E-4</v>
      </c>
      <c r="K78" s="2"/>
      <c r="L78" s="7">
        <f t="shared" si="45"/>
        <v>33.51</v>
      </c>
      <c r="M78" s="2"/>
      <c r="N78" s="8">
        <f t="shared" si="46"/>
        <v>6.756048387096774</v>
      </c>
      <c r="O78" s="11"/>
      <c r="P78" s="7">
        <v>45.06</v>
      </c>
      <c r="Q78" s="2"/>
      <c r="R78" s="8">
        <f t="shared" si="47"/>
        <v>6.7408610170891154E-4</v>
      </c>
      <c r="S78" s="2"/>
      <c r="T78" s="7">
        <v>4.96</v>
      </c>
      <c r="U78" s="2"/>
      <c r="V78" s="8">
        <f t="shared" si="48"/>
        <v>9.984481780233101E-5</v>
      </c>
      <c r="W78" s="2"/>
      <c r="X78" s="7">
        <f t="shared" si="49"/>
        <v>40.1</v>
      </c>
      <c r="Y78" s="2"/>
      <c r="Z78" s="8">
        <f t="shared" si="50"/>
        <v>8.0846774193548399</v>
      </c>
    </row>
    <row r="79" spans="1:26" s="24" customFormat="1" hidden="1" outlineLevel="2" x14ac:dyDescent="0.3">
      <c r="A79" s="27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8">
        <f t="shared" si="43"/>
        <v>0</v>
      </c>
      <c r="G79" s="2"/>
      <c r="H79" s="7"/>
      <c r="I79" s="2"/>
      <c r="J79" s="8">
        <f t="shared" si="44"/>
        <v>0</v>
      </c>
      <c r="K79" s="2"/>
      <c r="L79" s="7">
        <f t="shared" si="45"/>
        <v>0</v>
      </c>
      <c r="M79" s="2"/>
      <c r="N79" s="8">
        <f t="shared" si="46"/>
        <v>0</v>
      </c>
      <c r="O79" s="11"/>
      <c r="P79" s="7">
        <v>415.32</v>
      </c>
      <c r="Q79" s="2"/>
      <c r="R79" s="8">
        <f t="shared" si="47"/>
        <v>6.2130812197457863E-3</v>
      </c>
      <c r="S79" s="2"/>
      <c r="T79" s="7"/>
      <c r="U79" s="2"/>
      <c r="V79" s="8">
        <f t="shared" si="48"/>
        <v>0</v>
      </c>
      <c r="W79" s="2"/>
      <c r="X79" s="7">
        <f t="shared" si="49"/>
        <v>415.32</v>
      </c>
      <c r="Y79" s="2"/>
      <c r="Z79" s="8">
        <f t="shared" si="50"/>
        <v>0</v>
      </c>
    </row>
    <row r="80" spans="1:26" s="28" customFormat="1" outlineLevel="1" collapsed="1" x14ac:dyDescent="0.3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SUM(OSRRefD22_13x_0)</f>
        <v>297.83999999999997</v>
      </c>
      <c r="E80" s="1"/>
      <c r="F80" s="5">
        <f t="shared" ref="F80:F85" si="51">IF(D$12=0,0,D80/D$12)</f>
        <v>8.501166969552611E-3</v>
      </c>
      <c r="G80" s="1"/>
      <c r="H80" s="1">
        <f>SUM(OSRRefH22_13x_0)</f>
        <v>281.48</v>
      </c>
      <c r="I80" s="1"/>
      <c r="J80" s="5">
        <f t="shared" ref="J80:J85" si="52">IF(H$12=0,0,H80/H$12)</f>
        <v>1.2347065356805098E-2</v>
      </c>
      <c r="K80" s="1"/>
      <c r="L80" s="1">
        <f t="shared" ref="L80:L85" si="53">+D80-H80</f>
        <v>16.359999999999957</v>
      </c>
      <c r="M80" s="1"/>
      <c r="N80" s="5">
        <f t="shared" ref="N80:N85" si="54">IF(H80=0,0,L80/H80)</f>
        <v>5.8121358533465811E-2</v>
      </c>
      <c r="O80" s="14"/>
      <c r="P80" s="1">
        <f>SUM(OSRRefP22_13x_0)</f>
        <v>690.68</v>
      </c>
      <c r="Q80" s="1"/>
      <c r="R80" s="5">
        <f t="shared" ref="R80:R85" si="55">IF(P$12=0,0,P80/P$12)</f>
        <v>1.0332396554112538E-2</v>
      </c>
      <c r="S80" s="1"/>
      <c r="T80" s="1">
        <f>SUM(OSRRefT22_13x_0)</f>
        <v>559.79999999999995</v>
      </c>
      <c r="U80" s="1"/>
      <c r="V80" s="5">
        <f t="shared" ref="V80:V85" si="56">IF(T$12=0,0,T80/T$12)</f>
        <v>1.1268776009222761E-2</v>
      </c>
      <c r="W80" s="1"/>
      <c r="X80" s="1">
        <f t="shared" ref="X80:X85" si="57">+P80-T80</f>
        <v>130.88</v>
      </c>
      <c r="Y80" s="1"/>
      <c r="Z80" s="5">
        <f t="shared" ref="Z80:Z85" si="58">IF(T80=0,0,X80/T80)</f>
        <v>0.23379778492318687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7">
        <v>297.83999999999997</v>
      </c>
      <c r="E81" s="2"/>
      <c r="F81" s="8">
        <f t="shared" si="51"/>
        <v>8.501166969552611E-3</v>
      </c>
      <c r="G81" s="2"/>
      <c r="H81" s="7">
        <v>281.48</v>
      </c>
      <c r="I81" s="2"/>
      <c r="J81" s="8">
        <f t="shared" si="52"/>
        <v>1.2347065356805098E-2</v>
      </c>
      <c r="K81" s="2"/>
      <c r="L81" s="7">
        <f t="shared" si="53"/>
        <v>16.359999999999957</v>
      </c>
      <c r="M81" s="2"/>
      <c r="N81" s="8">
        <f t="shared" si="54"/>
        <v>5.8121358533465811E-2</v>
      </c>
      <c r="O81" s="11"/>
      <c r="P81" s="7">
        <v>690.68</v>
      </c>
      <c r="Q81" s="2"/>
      <c r="R81" s="8">
        <f t="shared" si="55"/>
        <v>1.0332396554112538E-2</v>
      </c>
      <c r="S81" s="2"/>
      <c r="T81" s="7">
        <v>559.79999999999995</v>
      </c>
      <c r="U81" s="2"/>
      <c r="V81" s="8">
        <f t="shared" si="56"/>
        <v>1.1268776009222761E-2</v>
      </c>
      <c r="W81" s="2"/>
      <c r="X81" s="7">
        <f t="shared" si="57"/>
        <v>130.88</v>
      </c>
      <c r="Y81" s="2"/>
      <c r="Z81" s="8">
        <f t="shared" si="58"/>
        <v>0.23379778492318687</v>
      </c>
    </row>
    <row r="82" spans="1:26" s="28" customFormat="1" outlineLevel="1" collapsed="1" x14ac:dyDescent="0.3">
      <c r="A82" s="29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SUM(OSRRefD22_14x_0)</f>
        <v>0</v>
      </c>
      <c r="E82" s="1"/>
      <c r="F82" s="5">
        <f t="shared" si="51"/>
        <v>0</v>
      </c>
      <c r="G82" s="1"/>
      <c r="H82" s="1">
        <f>SUM(OSRRefH22_14x_0)</f>
        <v>25.76</v>
      </c>
      <c r="I82" s="1"/>
      <c r="J82" s="5">
        <f t="shared" si="52"/>
        <v>1.1299573809553053E-3</v>
      </c>
      <c r="K82" s="1"/>
      <c r="L82" s="1">
        <f t="shared" si="53"/>
        <v>-25.76</v>
      </c>
      <c r="M82" s="1"/>
      <c r="N82" s="5">
        <f t="shared" si="54"/>
        <v>-1</v>
      </c>
      <c r="O82" s="14"/>
      <c r="P82" s="1">
        <f>SUM(OSRRefP22_14x_0)</f>
        <v>147.82</v>
      </c>
      <c r="Q82" s="1"/>
      <c r="R82" s="5">
        <f t="shared" si="55"/>
        <v>2.2113494796851155E-3</v>
      </c>
      <c r="S82" s="1"/>
      <c r="T82" s="1">
        <f>SUM(OSRRefT22_14x_0)</f>
        <v>240.92</v>
      </c>
      <c r="U82" s="1"/>
      <c r="V82" s="5">
        <f t="shared" si="56"/>
        <v>4.8497204647051581E-3</v>
      </c>
      <c r="W82" s="1"/>
      <c r="X82" s="1">
        <f t="shared" si="57"/>
        <v>-93.1</v>
      </c>
      <c r="Y82" s="1"/>
      <c r="Z82" s="5">
        <f t="shared" si="58"/>
        <v>-0.3864353312302839</v>
      </c>
    </row>
    <row r="83" spans="1:26" s="24" customFormat="1" hidden="1" outlineLevel="2" x14ac:dyDescent="0.3">
      <c r="A83" s="27"/>
      <c r="B83" s="11" t="str">
        <f>CONCATENATE("          ", "6294", " - ", "TRAVEL OPERATIONAL")</f>
        <v xml:space="preserve">          6294 - TRAVEL OPERATIONAL</v>
      </c>
      <c r="C83" s="11"/>
      <c r="D83" s="7"/>
      <c r="E83" s="2"/>
      <c r="F83" s="8">
        <f t="shared" si="51"/>
        <v>0</v>
      </c>
      <c r="G83" s="2"/>
      <c r="H83" s="7">
        <v>25.76</v>
      </c>
      <c r="I83" s="2"/>
      <c r="J83" s="8">
        <f t="shared" si="52"/>
        <v>1.1299573809553053E-3</v>
      </c>
      <c r="K83" s="2"/>
      <c r="L83" s="7">
        <f t="shared" si="53"/>
        <v>-25.76</v>
      </c>
      <c r="M83" s="2"/>
      <c r="N83" s="8">
        <f t="shared" si="54"/>
        <v>-1</v>
      </c>
      <c r="O83" s="11"/>
      <c r="P83" s="7">
        <v>147.82</v>
      </c>
      <c r="Q83" s="2"/>
      <c r="R83" s="8">
        <f t="shared" si="55"/>
        <v>2.2113494796851155E-3</v>
      </c>
      <c r="S83" s="2"/>
      <c r="T83" s="7">
        <v>240.92</v>
      </c>
      <c r="U83" s="2"/>
      <c r="V83" s="8">
        <f t="shared" si="56"/>
        <v>4.8497204647051581E-3</v>
      </c>
      <c r="W83" s="2"/>
      <c r="X83" s="7">
        <f t="shared" si="57"/>
        <v>-93.1</v>
      </c>
      <c r="Y83" s="2"/>
      <c r="Z83" s="8">
        <f t="shared" si="58"/>
        <v>-0.3864353312302839</v>
      </c>
    </row>
    <row r="84" spans="1:26" s="28" customFormat="1" outlineLevel="1" collapsed="1" x14ac:dyDescent="0.3">
      <c r="A84" s="29"/>
      <c r="B84" s="14" t="str">
        <f>CONCATENATE("     ","Utilities                                         ")</f>
        <v xml:space="preserve">     Utilities                                         </v>
      </c>
      <c r="C84" s="14"/>
      <c r="D84" s="1">
        <f>SUM(OSRRefD22_15x_0)</f>
        <v>37.29</v>
      </c>
      <c r="E84" s="1"/>
      <c r="F84" s="5">
        <f t="shared" si="51"/>
        <v>1.0643584350477334E-3</v>
      </c>
      <c r="G84" s="1"/>
      <c r="H84" s="1">
        <f>SUM(OSRRefH22_15x_0)</f>
        <v>11.89</v>
      </c>
      <c r="I84" s="1"/>
      <c r="J84" s="5">
        <f t="shared" si="52"/>
        <v>5.2155253336795733E-4</v>
      </c>
      <c r="K84" s="1"/>
      <c r="L84" s="1">
        <f t="shared" si="53"/>
        <v>25.4</v>
      </c>
      <c r="M84" s="1"/>
      <c r="N84" s="5">
        <f t="shared" si="54"/>
        <v>2.1362489486963834</v>
      </c>
      <c r="O84" s="14"/>
      <c r="P84" s="1">
        <f>SUM(OSRRefP22_15x_0)</f>
        <v>73.78</v>
      </c>
      <c r="Q84" s="1"/>
      <c r="R84" s="5">
        <f t="shared" si="55"/>
        <v>1.1037299730156124E-3</v>
      </c>
      <c r="S84" s="1"/>
      <c r="T84" s="1">
        <f>SUM(OSRRefT22_15x_0)</f>
        <v>40.35</v>
      </c>
      <c r="U84" s="1"/>
      <c r="V84" s="5">
        <f t="shared" si="56"/>
        <v>8.1224564482339841E-4</v>
      </c>
      <c r="W84" s="1"/>
      <c r="X84" s="1">
        <f t="shared" si="57"/>
        <v>33.43</v>
      </c>
      <c r="Y84" s="1"/>
      <c r="Z84" s="5">
        <f t="shared" si="58"/>
        <v>0.82850061957868648</v>
      </c>
    </row>
    <row r="85" spans="1:26" s="24" customFormat="1" hidden="1" outlineLevel="2" x14ac:dyDescent="0.3">
      <c r="A85" s="27"/>
      <c r="B85" s="11" t="str">
        <f>CONCATENATE("          ", "6274", " - ", "UTILITIES")</f>
        <v xml:space="preserve">          6274 - UTILITIES</v>
      </c>
      <c r="C85" s="11"/>
      <c r="D85" s="7">
        <v>37.29</v>
      </c>
      <c r="E85" s="2"/>
      <c r="F85" s="8">
        <f t="shared" si="51"/>
        <v>1.0643584350477334E-3</v>
      </c>
      <c r="G85" s="2"/>
      <c r="H85" s="7">
        <v>11.89</v>
      </c>
      <c r="I85" s="2"/>
      <c r="J85" s="8">
        <f t="shared" si="52"/>
        <v>5.2155253336795733E-4</v>
      </c>
      <c r="K85" s="2"/>
      <c r="L85" s="7">
        <f t="shared" si="53"/>
        <v>25.4</v>
      </c>
      <c r="M85" s="2"/>
      <c r="N85" s="8">
        <f t="shared" si="54"/>
        <v>2.1362489486963834</v>
      </c>
      <c r="O85" s="11"/>
      <c r="P85" s="7">
        <v>73.78</v>
      </c>
      <c r="Q85" s="2"/>
      <c r="R85" s="8">
        <f t="shared" si="55"/>
        <v>1.1037299730156124E-3</v>
      </c>
      <c r="S85" s="2"/>
      <c r="T85" s="7">
        <v>40.35</v>
      </c>
      <c r="U85" s="2"/>
      <c r="V85" s="8">
        <f t="shared" si="56"/>
        <v>8.1224564482339841E-4</v>
      </c>
      <c r="W85" s="2"/>
      <c r="X85" s="7">
        <f t="shared" si="57"/>
        <v>33.43</v>
      </c>
      <c r="Y85" s="2"/>
      <c r="Z85" s="8">
        <f t="shared" si="58"/>
        <v>0.82850061957868648</v>
      </c>
    </row>
    <row r="86" spans="1:26" s="61" customFormat="1" x14ac:dyDescent="0.3">
      <c r="A86" s="37"/>
      <c r="B86" s="37"/>
      <c r="C86" s="37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7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3">
      <c r="A87" s="10"/>
      <c r="B87" s="26" t="s">
        <v>292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3">
      <c r="A88" s="9"/>
      <c r="B88" s="10"/>
      <c r="C88" s="10"/>
      <c r="D88" s="3"/>
      <c r="E88" s="3"/>
      <c r="F88" s="6"/>
      <c r="G88" s="3"/>
      <c r="H88" s="3"/>
      <c r="I88" s="3"/>
      <c r="J88" s="6"/>
      <c r="K88" s="3"/>
      <c r="L88" s="3"/>
      <c r="M88" s="3"/>
      <c r="N88" s="6"/>
      <c r="O88" s="10"/>
      <c r="P88" s="3"/>
      <c r="Q88" s="3"/>
      <c r="R88" s="6"/>
      <c r="S88" s="3"/>
      <c r="T88" s="3"/>
      <c r="U88" s="3"/>
      <c r="V88" s="6"/>
      <c r="W88" s="3"/>
      <c r="X88" s="3"/>
      <c r="Y88" s="3"/>
      <c r="Z88" s="6"/>
    </row>
    <row r="89" spans="1:26" s="23" customFormat="1" x14ac:dyDescent="0.3">
      <c r="A89" s="10"/>
      <c r="B89" s="25" t="s">
        <v>276</v>
      </c>
      <c r="C89" s="25"/>
      <c r="D89" s="20">
        <f>+D37-D39+D87</f>
        <v>2020.4700000000012</v>
      </c>
      <c r="E89" s="13"/>
      <c r="F89" s="22">
        <f>IF(D$12=0,0,D89/D$12)</f>
        <v>5.7669731489967686E-2</v>
      </c>
      <c r="G89" s="13"/>
      <c r="H89" s="20">
        <f>+H37-H39+H87</f>
        <v>-3837.5499999999993</v>
      </c>
      <c r="I89" s="13"/>
      <c r="J89" s="22">
        <f>IF(H$12=0,0,H89/H$12)</f>
        <v>-0.16833338304677914</v>
      </c>
      <c r="K89" s="15"/>
      <c r="L89" s="20">
        <f>+D89-H89</f>
        <v>5858.02</v>
      </c>
      <c r="M89" s="15"/>
      <c r="N89" s="22">
        <f>IF(H89=0,0,L89/H89)</f>
        <v>-1.5264999804562811</v>
      </c>
      <c r="O89" s="26"/>
      <c r="P89" s="20">
        <f>+P37-P39+P87</f>
        <v>947.2300000000032</v>
      </c>
      <c r="Q89" s="13"/>
      <c r="R89" s="22">
        <f>IF(P$12=0,0,P89/P$12)</f>
        <v>1.4170319088365167E-2</v>
      </c>
      <c r="S89" s="13"/>
      <c r="T89" s="20">
        <f>+T37-T39+T87</f>
        <v>-10399.179999999993</v>
      </c>
      <c r="U89" s="13"/>
      <c r="V89" s="22">
        <f>IF(T$12=0,0,T89/T$12)</f>
        <v>-0.20933553072452496</v>
      </c>
      <c r="W89" s="15"/>
      <c r="X89" s="20">
        <f>+P89-T89</f>
        <v>11346.409999999996</v>
      </c>
      <c r="Y89" s="15"/>
      <c r="Z89" s="22">
        <f>IF(T89=0,0,X89/T89)</f>
        <v>-1.0910869895510995</v>
      </c>
    </row>
    <row r="90" spans="1:26" x14ac:dyDescent="0.3">
      <c r="A90" s="9"/>
      <c r="B90" s="10"/>
      <c r="C90" s="9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x14ac:dyDescent="0.3">
      <c r="A91" s="51"/>
      <c r="B91" s="10" t="s">
        <v>127</v>
      </c>
      <c r="C91" s="10"/>
      <c r="D91" s="4">
        <v>-4707.4799999999996</v>
      </c>
      <c r="E91" s="4"/>
      <c r="F91" s="12">
        <f>IF(D$12=0,0,D91/D$12)</f>
        <v>-0.13436433483020926</v>
      </c>
      <c r="G91" s="4"/>
      <c r="H91" s="4">
        <v>-4708.91</v>
      </c>
      <c r="I91" s="4"/>
      <c r="J91" s="12">
        <f>IF(H$12=0,0,H91/H$12)</f>
        <v>-0.20655541967213689</v>
      </c>
      <c r="K91" s="4"/>
      <c r="L91" s="4">
        <f>+D91-H91</f>
        <v>1.430000000000291</v>
      </c>
      <c r="M91" s="4"/>
      <c r="N91" s="12">
        <f>IF(H91=0,0,L91/H91)</f>
        <v>-3.0367962012446426E-4</v>
      </c>
      <c r="O91" s="10"/>
      <c r="P91" s="4">
        <v>9989.01</v>
      </c>
      <c r="Q91" s="4"/>
      <c r="R91" s="12">
        <f>IF(P$12=0,0,P91/P$12)</f>
        <v>0.14943304063096613</v>
      </c>
      <c r="S91" s="4"/>
      <c r="T91" s="4">
        <v>8387.32</v>
      </c>
      <c r="U91" s="4"/>
      <c r="V91" s="12">
        <f>IF(T$12=0,0,T91/T$12)</f>
        <v>0.16883678170359817</v>
      </c>
      <c r="W91" s="4"/>
      <c r="X91" s="4">
        <f>+P91-T91</f>
        <v>1601.6900000000005</v>
      </c>
      <c r="Y91" s="4"/>
      <c r="Z91" s="12">
        <f>IF(T91=0,0,X91/T91)</f>
        <v>0.19096564814505712</v>
      </c>
    </row>
    <row r="92" spans="1:26" x14ac:dyDescent="0.3">
      <c r="A92" s="9"/>
      <c r="B92" s="10"/>
      <c r="C92" s="10"/>
      <c r="D92" s="3"/>
      <c r="E92" s="3"/>
      <c r="F92" s="6"/>
      <c r="G92" s="3"/>
      <c r="H92" s="3"/>
      <c r="I92" s="3"/>
      <c r="J92" s="6"/>
      <c r="K92" s="3"/>
      <c r="L92" s="3"/>
      <c r="M92" s="3"/>
      <c r="N92" s="6"/>
      <c r="O92" s="10"/>
      <c r="P92" s="3"/>
      <c r="Q92" s="3"/>
      <c r="R92" s="6"/>
      <c r="S92" s="3"/>
      <c r="T92" s="3"/>
      <c r="U92" s="3"/>
      <c r="V92" s="6"/>
      <c r="W92" s="3"/>
      <c r="X92" s="3"/>
      <c r="Y92" s="3"/>
      <c r="Z92" s="6"/>
    </row>
    <row r="93" spans="1:26" s="23" customFormat="1" ht="15" thickBot="1" x14ac:dyDescent="0.35">
      <c r="A93" s="10"/>
      <c r="B93" s="25" t="s">
        <v>125</v>
      </c>
      <c r="C93" s="25"/>
      <c r="D93" s="33">
        <f>+D89-D91</f>
        <v>6727.9500000000007</v>
      </c>
      <c r="E93" s="13"/>
      <c r="F93" s="36">
        <f>IF(D$12=0,0,D93/D$12)</f>
        <v>0.19203406632017694</v>
      </c>
      <c r="G93" s="13"/>
      <c r="H93" s="33">
        <f>+H89-H91</f>
        <v>871.36000000000058</v>
      </c>
      <c r="I93" s="13"/>
      <c r="J93" s="36">
        <f>IF(H$12=0,0,H93/H$12)</f>
        <v>3.8222036625357746E-2</v>
      </c>
      <c r="K93" s="15"/>
      <c r="L93" s="33">
        <f>D93-H93</f>
        <v>5856.59</v>
      </c>
      <c r="M93" s="15"/>
      <c r="N93" s="36">
        <f>IF(H93=0,0,L93/H93)</f>
        <v>6.7212059309584973</v>
      </c>
      <c r="O93" s="26"/>
      <c r="P93" s="33">
        <f>+P89-P91</f>
        <v>-9041.779999999997</v>
      </c>
      <c r="Q93" s="13"/>
      <c r="R93" s="36">
        <f>IF(P$12=0,0,P93/P$12)</f>
        <v>-0.13526272154260097</v>
      </c>
      <c r="S93" s="13"/>
      <c r="T93" s="33">
        <f>+T89-T91</f>
        <v>-18786.499999999993</v>
      </c>
      <c r="U93" s="13"/>
      <c r="V93" s="36">
        <f>IF(T$12=0,0,T93/T$12)</f>
        <v>-0.3781723124281231</v>
      </c>
      <c r="W93" s="15"/>
      <c r="X93" s="33">
        <f>P93-T93</f>
        <v>9744.7199999999957</v>
      </c>
      <c r="Y93" s="15"/>
      <c r="Z93" s="36">
        <f>IF(T93=0,0,X93/T93)</f>
        <v>-0.5187086471668485</v>
      </c>
    </row>
    <row r="94" spans="1:26" ht="15" thickTop="1" x14ac:dyDescent="0.3">
      <c r="A94" s="9"/>
      <c r="B94" s="9"/>
      <c r="C94" s="9"/>
      <c r="D94" s="3"/>
      <c r="E94" s="3"/>
      <c r="F94" s="6"/>
      <c r="G94" s="3"/>
      <c r="H94" s="3"/>
      <c r="I94" s="3"/>
      <c r="J94" s="6"/>
      <c r="K94" s="3"/>
      <c r="L94" s="3"/>
      <c r="M94" s="3"/>
      <c r="N94" s="6"/>
      <c r="P94" s="3"/>
      <c r="Q94" s="3"/>
      <c r="R94" s="6"/>
      <c r="S94" s="3"/>
      <c r="T94" s="3"/>
      <c r="U94" s="3"/>
      <c r="V94" s="6"/>
      <c r="W94" s="3"/>
      <c r="X94" s="3"/>
      <c r="Y94" s="3"/>
      <c r="Z94" s="6"/>
    </row>
    <row r="95" spans="1:26" x14ac:dyDescent="0.3">
      <c r="A95" s="9"/>
      <c r="B95" s="9"/>
      <c r="C95" s="9"/>
      <c r="D95" s="3"/>
      <c r="E95" s="3"/>
      <c r="F95" s="6"/>
      <c r="G95" s="3"/>
      <c r="H95" s="3"/>
      <c r="I95" s="3"/>
      <c r="J95" s="6"/>
      <c r="K95" s="3"/>
      <c r="L95" s="3"/>
      <c r="M95" s="3"/>
      <c r="N95" s="6"/>
      <c r="P95" s="3"/>
      <c r="Q95" s="3"/>
      <c r="R95" s="6"/>
      <c r="S95" s="3"/>
      <c r="T95" s="3"/>
      <c r="U95" s="3"/>
      <c r="V95" s="6"/>
      <c r="W95" s="3"/>
      <c r="X95" s="3"/>
      <c r="Y95" s="3"/>
      <c r="Z95" s="6"/>
    </row>
    <row r="96" spans="1:26" s="23" customFormat="1" ht="15" thickBot="1" x14ac:dyDescent="0.35">
      <c r="A96" s="10"/>
      <c r="B96" s="25" t="s">
        <v>293</v>
      </c>
      <c r="C96" s="25"/>
      <c r="D96" s="30">
        <f>SUM(D93:D95)</f>
        <v>6727.9500000000007</v>
      </c>
      <c r="E96" s="13"/>
      <c r="F96" s="31">
        <f>IF(D$12=0,0,D96/D$12)</f>
        <v>0.19203406632017694</v>
      </c>
      <c r="G96" s="13"/>
      <c r="H96" s="30">
        <f>SUM(H93:H95)</f>
        <v>871.36000000000058</v>
      </c>
      <c r="I96" s="13"/>
      <c r="J96" s="31">
        <f>IF(H$12=0,0,H96/H$12)</f>
        <v>3.8222036625357746E-2</v>
      </c>
      <c r="K96" s="15"/>
      <c r="L96" s="30">
        <f>+D96-H96</f>
        <v>5856.59</v>
      </c>
      <c r="M96" s="15"/>
      <c r="N96" s="31">
        <f>IF(H96=0,0,L96/H96)</f>
        <v>6.7212059309584973</v>
      </c>
      <c r="O96" s="26"/>
      <c r="P96" s="30">
        <f>SUM(P93:P95)</f>
        <v>-9041.779999999997</v>
      </c>
      <c r="Q96" s="13"/>
      <c r="R96" s="31">
        <f>IF(P$12=0,0,P96/P$12)</f>
        <v>-0.13526272154260097</v>
      </c>
      <c r="S96" s="13"/>
      <c r="T96" s="30">
        <f>SUM(T93:T95)</f>
        <v>-18786.499999999993</v>
      </c>
      <c r="U96" s="13"/>
      <c r="V96" s="31">
        <f>IF(T$12=0,0,T96/T$12)</f>
        <v>-0.3781723124281231</v>
      </c>
      <c r="W96" s="15"/>
      <c r="X96" s="30">
        <f>+P96-T96</f>
        <v>9744.7199999999957</v>
      </c>
      <c r="Y96" s="15"/>
      <c r="Z96" s="31">
        <f>IF(T96=0,0,X96/T96)</f>
        <v>-0.5187086471668485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59">
        <v>44470.840542939812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A100" s="9"/>
      <c r="B100" s="52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3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61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6"/>
      <c r="G21" s="3"/>
      <c r="H21" s="3"/>
      <c r="I21" s="3"/>
      <c r="J21" s="6"/>
      <c r="K21" s="3"/>
      <c r="L21" s="3"/>
      <c r="M21" s="3"/>
      <c r="N21" s="6"/>
      <c r="O21" s="10"/>
      <c r="P21" s="3"/>
      <c r="Q21" s="3"/>
      <c r="R21" s="6"/>
      <c r="S21" s="3"/>
      <c r="T21" s="3"/>
      <c r="U21" s="3"/>
      <c r="V21" s="6"/>
      <c r="W21" s="3"/>
      <c r="X21" s="3"/>
      <c r="Y21" s="3"/>
      <c r="Z21" s="6"/>
    </row>
    <row r="22" spans="1:26" s="23" customFormat="1" x14ac:dyDescent="0.3">
      <c r="A22" s="10"/>
      <c r="B22" s="25" t="s">
        <v>276</v>
      </c>
      <c r="C22" s="25"/>
      <c r="D22" s="20">
        <f>+D16-D18+D20</f>
        <v>0</v>
      </c>
      <c r="E22" s="13"/>
      <c r="F22" s="22">
        <f>IF(D$12=0,0,D22/D$12)</f>
        <v>0</v>
      </c>
      <c r="G22" s="13"/>
      <c r="H22" s="20">
        <f>+H16-H18+H20</f>
        <v>0</v>
      </c>
      <c r="I22" s="13"/>
      <c r="J22" s="22">
        <f>IF(H$12=0,0,H22/H$12)</f>
        <v>0</v>
      </c>
      <c r="K22" s="15"/>
      <c r="L22" s="20">
        <f>+D22-H22</f>
        <v>0</v>
      </c>
      <c r="M22" s="15"/>
      <c r="N22" s="22">
        <f>IF(H22=0,0,L22/H22)</f>
        <v>0</v>
      </c>
      <c r="O22" s="26"/>
      <c r="P22" s="20">
        <f>+P16-P18+P20</f>
        <v>0</v>
      </c>
      <c r="Q22" s="13"/>
      <c r="R22" s="22">
        <f>IF(P$12=0,0,P22/P$12)</f>
        <v>0</v>
      </c>
      <c r="S22" s="13"/>
      <c r="T22" s="20">
        <f>+T16-T18+T20</f>
        <v>0</v>
      </c>
      <c r="U22" s="13"/>
      <c r="V22" s="22">
        <f>IF(T$12=0,0,T22/T$12)</f>
        <v>0</v>
      </c>
      <c r="W22" s="15"/>
      <c r="X22" s="20">
        <f>+P22-T22</f>
        <v>0</v>
      </c>
      <c r="Y22" s="15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6"/>
      <c r="G23" s="3"/>
      <c r="H23" s="3"/>
      <c r="I23" s="3"/>
      <c r="J23" s="6"/>
      <c r="K23" s="3"/>
      <c r="L23" s="3"/>
      <c r="M23" s="3"/>
      <c r="N23" s="6"/>
      <c r="P23" s="3"/>
      <c r="Q23" s="3"/>
      <c r="R23" s="6"/>
      <c r="S23" s="3"/>
      <c r="T23" s="3"/>
      <c r="U23" s="3"/>
      <c r="V23" s="6"/>
      <c r="W23" s="3"/>
      <c r="X23" s="3"/>
      <c r="Y23" s="3"/>
      <c r="Z23" s="6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6"/>
      <c r="G25" s="3"/>
      <c r="H25" s="3"/>
      <c r="I25" s="3"/>
      <c r="J25" s="6"/>
      <c r="K25" s="3"/>
      <c r="L25" s="3"/>
      <c r="M25" s="3"/>
      <c r="N25" s="6"/>
      <c r="O25" s="10"/>
      <c r="P25" s="3"/>
      <c r="Q25" s="3"/>
      <c r="R25" s="6"/>
      <c r="S25" s="3"/>
      <c r="T25" s="3"/>
      <c r="U25" s="3"/>
      <c r="V25" s="6"/>
      <c r="W25" s="3"/>
      <c r="X25" s="3"/>
      <c r="Y25" s="3"/>
      <c r="Z25" s="6"/>
    </row>
    <row r="26" spans="1:26" s="23" customFormat="1" ht="15" thickBot="1" x14ac:dyDescent="0.35">
      <c r="A26" s="10"/>
      <c r="B26" s="25" t="s">
        <v>125</v>
      </c>
      <c r="C26" s="25"/>
      <c r="D26" s="33">
        <f>+D22-D24</f>
        <v>0</v>
      </c>
      <c r="E26" s="13"/>
      <c r="F26" s="36">
        <f>IF(D$12=0,0,D26/D$12)</f>
        <v>0</v>
      </c>
      <c r="G26" s="13"/>
      <c r="H26" s="33">
        <f>+H22-H24</f>
        <v>0</v>
      </c>
      <c r="I26" s="13"/>
      <c r="J26" s="36">
        <f>IF(H$12=0,0,H26/H$12)</f>
        <v>0</v>
      </c>
      <c r="K26" s="15"/>
      <c r="L26" s="33">
        <f>D26-H26</f>
        <v>0</v>
      </c>
      <c r="M26" s="15"/>
      <c r="N26" s="36">
        <f>IF(H26=0,0,L26/H26)</f>
        <v>0</v>
      </c>
      <c r="O26" s="26"/>
      <c r="P26" s="33">
        <f>+P22-P24</f>
        <v>0</v>
      </c>
      <c r="Q26" s="13"/>
      <c r="R26" s="36">
        <f>IF(P$12=0,0,P26/P$12)</f>
        <v>0</v>
      </c>
      <c r="S26" s="13"/>
      <c r="T26" s="33">
        <f>+T22-T24</f>
        <v>0</v>
      </c>
      <c r="U26" s="13"/>
      <c r="V26" s="36">
        <f>IF(T$12=0,0,T26/T$12)</f>
        <v>0</v>
      </c>
      <c r="W26" s="15"/>
      <c r="X26" s="33">
        <f>P26-T26</f>
        <v>0</v>
      </c>
      <c r="Y26" s="15"/>
      <c r="Z26" s="36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6"/>
      <c r="G27" s="3"/>
      <c r="H27" s="3"/>
      <c r="I27" s="3"/>
      <c r="J27" s="6"/>
      <c r="K27" s="3"/>
      <c r="L27" s="3"/>
      <c r="M27" s="3"/>
      <c r="N27" s="6"/>
      <c r="P27" s="3"/>
      <c r="Q27" s="3"/>
      <c r="R27" s="6"/>
      <c r="S27" s="3"/>
      <c r="T27" s="3"/>
      <c r="U27" s="3"/>
      <c r="V27" s="6"/>
      <c r="W27" s="3"/>
      <c r="X27" s="3"/>
      <c r="Y27" s="3"/>
      <c r="Z27" s="6"/>
    </row>
    <row r="28" spans="1:26" s="23" customFormat="1" x14ac:dyDescent="0.3">
      <c r="A28" s="51"/>
      <c r="B28" s="10" t="s">
        <v>183</v>
      </c>
      <c r="C28" s="10"/>
      <c r="D28" s="4">
        <f>--134736.5</f>
        <v>134736.5</v>
      </c>
      <c r="E28" s="4"/>
      <c r="F28" s="12">
        <f t="shared" ref="F28:F29" si="0">IF(D$12=0,0,D28/D$12)</f>
        <v>0</v>
      </c>
      <c r="G28" s="4"/>
      <c r="H28" s="4">
        <f>--487459.55</f>
        <v>487459.55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-352723.05</v>
      </c>
      <c r="M28" s="4"/>
      <c r="N28" s="12">
        <f t="shared" ref="N28:N29" si="3">IF(H28=0,0,L28/H28)</f>
        <v>-0.72359450132836667</v>
      </c>
      <c r="O28" s="10"/>
      <c r="P28" s="4">
        <f>--152858.8</f>
        <v>152858.79999999999</v>
      </c>
      <c r="Q28" s="4"/>
      <c r="R28" s="12">
        <f t="shared" ref="R28:R29" si="4">IF(P$12=0,0,P28/P$12)</f>
        <v>0</v>
      </c>
      <c r="S28" s="4"/>
      <c r="T28" s="4">
        <f>--951342.71</f>
        <v>951342.71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-798483.90999999992</v>
      </c>
      <c r="Y28" s="4"/>
      <c r="Z28" s="12">
        <f t="shared" ref="Z28:Z29" si="7">IF(T28=0,0,X28/T28)</f>
        <v>-0.83932309735153166</v>
      </c>
    </row>
    <row r="29" spans="1:26" s="23" customFormat="1" x14ac:dyDescent="0.3">
      <c r="A29" s="51"/>
      <c r="B29" s="10" t="s">
        <v>81</v>
      </c>
      <c r="C29" s="10"/>
      <c r="D29" s="4">
        <f>--12034.07</f>
        <v>12034.07</v>
      </c>
      <c r="E29" s="4"/>
      <c r="F29" s="12">
        <f t="shared" si="0"/>
        <v>0</v>
      </c>
      <c r="G29" s="4"/>
      <c r="H29" s="4">
        <f>--25064.99</f>
        <v>25064.99</v>
      </c>
      <c r="I29" s="4"/>
      <c r="J29" s="12">
        <f t="shared" si="1"/>
        <v>0</v>
      </c>
      <c r="K29" s="4"/>
      <c r="L29" s="4">
        <f t="shared" si="2"/>
        <v>-13030.920000000002</v>
      </c>
      <c r="M29" s="4"/>
      <c r="N29" s="12">
        <f t="shared" si="3"/>
        <v>-0.51988530615811146</v>
      </c>
      <c r="O29" s="10"/>
      <c r="P29" s="4">
        <f>--22216.49</f>
        <v>22216.49</v>
      </c>
      <c r="Q29" s="4"/>
      <c r="R29" s="12">
        <f t="shared" si="4"/>
        <v>0</v>
      </c>
      <c r="S29" s="4"/>
      <c r="T29" s="4">
        <f>-56563.28</f>
        <v>-56563.28</v>
      </c>
      <c r="U29" s="4"/>
      <c r="V29" s="12">
        <f t="shared" si="5"/>
        <v>0</v>
      </c>
      <c r="W29" s="4"/>
      <c r="X29" s="4">
        <f t="shared" si="6"/>
        <v>78779.77</v>
      </c>
      <c r="Y29" s="4"/>
      <c r="Z29" s="12">
        <f t="shared" si="7"/>
        <v>-1.3927723074050868</v>
      </c>
    </row>
    <row r="30" spans="1:26" x14ac:dyDescent="0.3">
      <c r="A30" s="9"/>
      <c r="B30" s="9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293</v>
      </c>
      <c r="C31" s="25"/>
      <c r="D31" s="30">
        <f>SUM(D26:D30)</f>
        <v>146770.57</v>
      </c>
      <c r="E31" s="13"/>
      <c r="F31" s="31">
        <f>IF(D$12=0,0,D31/D$12)</f>
        <v>0</v>
      </c>
      <c r="G31" s="13"/>
      <c r="H31" s="30">
        <f>SUM(H26:H30)</f>
        <v>512524.54</v>
      </c>
      <c r="I31" s="13"/>
      <c r="J31" s="31">
        <f>IF(H$12=0,0,H31/H$12)</f>
        <v>0</v>
      </c>
      <c r="K31" s="15"/>
      <c r="L31" s="30">
        <f>+D31-H31</f>
        <v>-365753.97</v>
      </c>
      <c r="M31" s="15"/>
      <c r="N31" s="31">
        <f>IF(H31=0,0,L31/H31)</f>
        <v>-0.71363211213262101</v>
      </c>
      <c r="O31" s="26"/>
      <c r="P31" s="30">
        <f>SUM(P26:P30)</f>
        <v>175075.28999999998</v>
      </c>
      <c r="Q31" s="13"/>
      <c r="R31" s="31">
        <f>IF(P$12=0,0,P31/P$12)</f>
        <v>0</v>
      </c>
      <c r="S31" s="13"/>
      <c r="T31" s="30">
        <f>SUM(T26:T30)</f>
        <v>894779.42999999993</v>
      </c>
      <c r="U31" s="13"/>
      <c r="V31" s="31">
        <f>IF(T$12=0,0,T31/T$12)</f>
        <v>0</v>
      </c>
      <c r="W31" s="15"/>
      <c r="X31" s="30">
        <f>+P31-T31</f>
        <v>-719704.1399999999</v>
      </c>
      <c r="Y31" s="15"/>
      <c r="Z31" s="31">
        <f>IF(T31=0,0,X31/T31)</f>
        <v>-0.80433693027565456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9">
        <v>44470.840532210648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124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55943.87</v>
      </c>
      <c r="E12" s="4"/>
      <c r="F12" s="12"/>
      <c r="G12" s="4"/>
      <c r="H12" s="4">
        <f>SUM(OSRRefH13x_0)</f>
        <v>47524.27</v>
      </c>
      <c r="I12" s="4"/>
      <c r="J12" s="12"/>
      <c r="K12" s="4"/>
      <c r="L12" s="4">
        <f t="shared" ref="L12:L23" si="0">+D12-H12</f>
        <v>8419.6000000000058</v>
      </c>
      <c r="M12" s="4"/>
      <c r="N12" s="12">
        <f t="shared" ref="N12:N23" si="1">IF(H12=0,0,L12/H12)</f>
        <v>0.17716421525254372</v>
      </c>
      <c r="O12" s="10"/>
      <c r="P12" s="4">
        <f>SUM(OSRRefP13x_0)</f>
        <v>58475.67</v>
      </c>
      <c r="Q12" s="4"/>
      <c r="R12" s="12"/>
      <c r="S12" s="4"/>
      <c r="T12" s="4">
        <f>SUM(OSRRefT13x_0)</f>
        <v>52372.140000000007</v>
      </c>
      <c r="U12" s="4"/>
      <c r="V12" s="12"/>
      <c r="W12" s="4"/>
      <c r="X12" s="4">
        <f t="shared" ref="X12:X23" si="2">+P12-T12</f>
        <v>6103.5299999999916</v>
      </c>
      <c r="Y12" s="4"/>
      <c r="Z12" s="12">
        <f t="shared" ref="Z12:Z23" si="3">IF(T12=0,0,X12/T12)</f>
        <v>0.11654154288902441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--52570.47</f>
        <v>52570.47</v>
      </c>
      <c r="E13" s="2"/>
      <c r="F13" s="19"/>
      <c r="G13" s="2"/>
      <c r="H13" s="2">
        <f>-7.3</f>
        <v>-7.3</v>
      </c>
      <c r="I13" s="2"/>
      <c r="J13" s="19"/>
      <c r="K13" s="2"/>
      <c r="L13" s="2">
        <f t="shared" si="0"/>
        <v>52577.770000000004</v>
      </c>
      <c r="M13" s="2"/>
      <c r="N13" s="19">
        <f t="shared" si="1"/>
        <v>-7202.4342465753434</v>
      </c>
      <c r="O13" s="11"/>
      <c r="P13" s="2">
        <f>--54800.62</f>
        <v>54800.62</v>
      </c>
      <c r="Q13" s="2"/>
      <c r="R13" s="19"/>
      <c r="S13" s="2"/>
      <c r="T13" s="2">
        <f>-7.3</f>
        <v>-7.3</v>
      </c>
      <c r="U13" s="2"/>
      <c r="V13" s="19"/>
      <c r="W13" s="2"/>
      <c r="X13" s="2">
        <f t="shared" si="2"/>
        <v>54807.920000000006</v>
      </c>
      <c r="Y13" s="2"/>
      <c r="Z13" s="19">
        <f t="shared" si="3"/>
        <v>-7507.9342465753434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--42350.45</f>
        <v>42350.45</v>
      </c>
      <c r="I14" s="2"/>
      <c r="J14" s="19"/>
      <c r="K14" s="2"/>
      <c r="L14" s="2">
        <f t="shared" si="0"/>
        <v>-42350.45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--43436.05</f>
        <v>43436.05</v>
      </c>
      <c r="U14" s="2"/>
      <c r="V14" s="19"/>
      <c r="W14" s="2"/>
      <c r="X14" s="2">
        <f t="shared" si="2"/>
        <v>-43436.05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--5206.35</f>
        <v>5206.3500000000004</v>
      </c>
      <c r="I15" s="2"/>
      <c r="J15" s="19"/>
      <c r="K15" s="2"/>
      <c r="L15" s="2">
        <f t="shared" si="0"/>
        <v>-5206.3500000000004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--8956.87</f>
        <v>8956.8700000000008</v>
      </c>
      <c r="U15" s="2"/>
      <c r="V15" s="19"/>
      <c r="W15" s="2"/>
      <c r="X15" s="2">
        <f t="shared" si="2"/>
        <v>-8956.8700000000008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--4.99</f>
        <v>4.99</v>
      </c>
      <c r="I16" s="2"/>
      <c r="J16" s="19"/>
      <c r="K16" s="2"/>
      <c r="L16" s="2">
        <f t="shared" si="0"/>
        <v>-4.99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--4.99</f>
        <v>4.99</v>
      </c>
      <c r="U16" s="2"/>
      <c r="V16" s="19"/>
      <c r="W16" s="2"/>
      <c r="X16" s="2">
        <f t="shared" si="2"/>
        <v>-4.99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--553.4</f>
        <v>553.4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553.4</v>
      </c>
      <c r="M17" s="2"/>
      <c r="N17" s="19">
        <f t="shared" si="1"/>
        <v>0</v>
      </c>
      <c r="O17" s="11"/>
      <c r="P17" s="2">
        <f>--834.85</f>
        <v>834.85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834.85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--389.5</f>
        <v>389.5</v>
      </c>
      <c r="E18" s="2"/>
      <c r="F18" s="19"/>
      <c r="G18" s="2"/>
      <c r="H18" s="2">
        <f>--446.75</f>
        <v>446.75</v>
      </c>
      <c r="I18" s="2"/>
      <c r="J18" s="19"/>
      <c r="K18" s="2"/>
      <c r="L18" s="2">
        <f t="shared" si="0"/>
        <v>-57.25</v>
      </c>
      <c r="M18" s="2"/>
      <c r="N18" s="19">
        <f t="shared" si="1"/>
        <v>-0.12814773363178511</v>
      </c>
      <c r="O18" s="11"/>
      <c r="P18" s="2">
        <f>--389.5</f>
        <v>389.5</v>
      </c>
      <c r="Q18" s="2"/>
      <c r="R18" s="19"/>
      <c r="S18" s="2"/>
      <c r="T18" s="2">
        <f>--457.5</f>
        <v>457.5</v>
      </c>
      <c r="U18" s="2"/>
      <c r="V18" s="19"/>
      <c r="W18" s="2"/>
      <c r="X18" s="2">
        <f t="shared" si="2"/>
        <v>-68</v>
      </c>
      <c r="Y18" s="2"/>
      <c r="Z18" s="19">
        <f t="shared" si="3"/>
        <v>-0.14863387978142076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--5.98</f>
        <v>5.98</v>
      </c>
      <c r="I19" s="2"/>
      <c r="J19" s="19"/>
      <c r="K19" s="2"/>
      <c r="L19" s="2">
        <f t="shared" si="0"/>
        <v>-5.98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--5.98</f>
        <v>5.98</v>
      </c>
      <c r="U19" s="2"/>
      <c r="V19" s="19"/>
      <c r="W19" s="2"/>
      <c r="X19" s="2">
        <f t="shared" si="2"/>
        <v>-5.98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--2713.4</f>
        <v>2713.4</v>
      </c>
      <c r="E20" s="2"/>
      <c r="F20" s="19"/>
      <c r="G20" s="2"/>
      <c r="H20" s="2">
        <f>--15.5</f>
        <v>15.5</v>
      </c>
      <c r="I20" s="2"/>
      <c r="J20" s="19"/>
      <c r="K20" s="2"/>
      <c r="L20" s="2">
        <f t="shared" si="0"/>
        <v>2697.9</v>
      </c>
      <c r="M20" s="2"/>
      <c r="N20" s="19">
        <f t="shared" si="1"/>
        <v>174.05806451612904</v>
      </c>
      <c r="O20" s="11"/>
      <c r="P20" s="2">
        <f>--2733.6</f>
        <v>2733.6</v>
      </c>
      <c r="Q20" s="2"/>
      <c r="R20" s="19"/>
      <c r="S20" s="2"/>
      <c r="T20" s="2">
        <f>--15.5</f>
        <v>15.5</v>
      </c>
      <c r="U20" s="2"/>
      <c r="V20" s="19"/>
      <c r="W20" s="2"/>
      <c r="X20" s="2">
        <f t="shared" si="2"/>
        <v>2718.1</v>
      </c>
      <c r="Y20" s="2"/>
      <c r="Z20" s="19">
        <f t="shared" si="3"/>
        <v>175.36129032258063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--23</f>
        <v>23</v>
      </c>
      <c r="I21" s="2"/>
      <c r="J21" s="19"/>
      <c r="K21" s="2"/>
      <c r="L21" s="2">
        <f t="shared" si="0"/>
        <v>-23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</f>
        <v>24</v>
      </c>
      <c r="U21" s="2"/>
      <c r="V21" s="19"/>
      <c r="W21" s="2"/>
      <c r="X21" s="2">
        <f t="shared" si="2"/>
        <v>-24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-282.9</f>
        <v>-282.89999999999998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-282.89999999999998</v>
      </c>
      <c r="M22" s="2"/>
      <c r="N22" s="19">
        <f t="shared" si="1"/>
        <v>0</v>
      </c>
      <c r="O22" s="11"/>
      <c r="P22" s="2">
        <f>-282.9</f>
        <v>-282.89999999999998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-282.89999999999998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-521.45</f>
        <v>-521.45000000000005</v>
      </c>
      <c r="I23" s="2"/>
      <c r="J23" s="19"/>
      <c r="K23" s="2"/>
      <c r="L23" s="2">
        <f t="shared" si="0"/>
        <v>521.45000000000005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-521.45</f>
        <v>-521.45000000000005</v>
      </c>
      <c r="U23" s="2"/>
      <c r="V23" s="19"/>
      <c r="W23" s="2"/>
      <c r="X23" s="2">
        <f t="shared" si="2"/>
        <v>521.45000000000005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6"/>
      <c r="G24" s="3"/>
      <c r="H24" s="3"/>
      <c r="I24" s="3"/>
      <c r="J24" s="6"/>
      <c r="K24" s="3"/>
      <c r="L24" s="3"/>
      <c r="M24" s="3"/>
      <c r="N24" s="6"/>
      <c r="P24" s="3"/>
      <c r="Q24" s="3"/>
      <c r="R24" s="6"/>
      <c r="S24" s="3"/>
      <c r="T24" s="3"/>
      <c r="U24" s="3"/>
      <c r="V24" s="6"/>
      <c r="W24" s="3"/>
      <c r="X24" s="3"/>
      <c r="Y24" s="3"/>
      <c r="Z24" s="6"/>
    </row>
    <row r="25" spans="1:26" s="23" customFormat="1" collapsed="1" x14ac:dyDescent="0.3">
      <c r="A25" s="10"/>
      <c r="B25" s="26" t="s">
        <v>256</v>
      </c>
      <c r="C25" s="10"/>
      <c r="D25" s="4">
        <f>SUM(OSRRefD16x_0)</f>
        <v>0</v>
      </c>
      <c r="E25" s="4"/>
      <c r="F25" s="12">
        <f t="shared" ref="F25:F27" si="6">IF(D$12=0,0,D25/D$12)</f>
        <v>0</v>
      </c>
      <c r="G25" s="4"/>
      <c r="H25" s="4">
        <f>SUM(OSRRefH16x_0)</f>
        <v>0</v>
      </c>
      <c r="I25" s="4"/>
      <c r="J25" s="12">
        <f t="shared" ref="J25:J27" si="7">IF(H$12=0,0,H25/H$12)</f>
        <v>0</v>
      </c>
      <c r="K25" s="4"/>
      <c r="L25" s="4">
        <f t="shared" ref="L25:L27" si="8">+D25-H25</f>
        <v>0</v>
      </c>
      <c r="M25" s="4"/>
      <c r="N25" s="12">
        <f t="shared" ref="N25:N27" si="9">IF(H25=0,0,L25/H25)</f>
        <v>0</v>
      </c>
      <c r="O25" s="10"/>
      <c r="P25" s="4">
        <f>SUM(OSRRefP16x_0)</f>
        <v>0</v>
      </c>
      <c r="Q25" s="4"/>
      <c r="R25" s="12">
        <f t="shared" ref="R25:R27" si="10">IF(P$12=0,0,P25/P$12)</f>
        <v>0</v>
      </c>
      <c r="S25" s="4"/>
      <c r="T25" s="4">
        <f>SUM(OSRRefT16x_0)</f>
        <v>0</v>
      </c>
      <c r="U25" s="4"/>
      <c r="V25" s="12">
        <f t="shared" ref="V25:V27" si="11">IF(T$12=0,0,T25/T$12)</f>
        <v>0</v>
      </c>
      <c r="W25" s="4"/>
      <c r="X25" s="4">
        <f t="shared" ref="X25:X27" si="12">+P25-T25</f>
        <v>0</v>
      </c>
      <c r="Y25" s="4"/>
      <c r="Z25" s="12">
        <f t="shared" ref="Z25:Z27" si="13">IF(T25=0,0,X25/T25)</f>
        <v>0</v>
      </c>
    </row>
    <row r="26" spans="1:26" s="24" customFormat="1" hidden="1" outlineLevel="1" x14ac:dyDescent="0.3">
      <c r="A26" s="44"/>
      <c r="B26" s="11" t="str">
        <f>CONCATENATE("          ", "5092", " - ", "PURCHASES @ COST-GRAD MERCH")</f>
        <v xml:space="preserve">          5092 - PURCHASES @ COST-GRAD MERCH</v>
      </c>
      <c r="C26" s="11"/>
      <c r="D26" s="2"/>
      <c r="E26" s="2"/>
      <c r="F26" s="19">
        <f t="shared" si="6"/>
        <v>0</v>
      </c>
      <c r="G26" s="2"/>
      <c r="H26" s="2"/>
      <c r="I26" s="2"/>
      <c r="J26" s="19">
        <f t="shared" si="7"/>
        <v>0</v>
      </c>
      <c r="K26" s="2"/>
      <c r="L26" s="2">
        <f t="shared" si="8"/>
        <v>0</v>
      </c>
      <c r="M26" s="2"/>
      <c r="N26" s="19">
        <f t="shared" si="9"/>
        <v>0</v>
      </c>
      <c r="O26" s="11"/>
      <c r="P26" s="2"/>
      <c r="Q26" s="2"/>
      <c r="R26" s="19">
        <f t="shared" si="10"/>
        <v>0</v>
      </c>
      <c r="S26" s="2"/>
      <c r="T26" s="2">
        <v>0</v>
      </c>
      <c r="U26" s="2"/>
      <c r="V26" s="19">
        <f t="shared" si="11"/>
        <v>0</v>
      </c>
      <c r="W26" s="2"/>
      <c r="X26" s="2">
        <f t="shared" si="12"/>
        <v>0</v>
      </c>
      <c r="Y26" s="2"/>
      <c r="Z26" s="19">
        <f t="shared" si="13"/>
        <v>0</v>
      </c>
    </row>
    <row r="27" spans="1:26" s="24" customFormat="1" hidden="1" outlineLevel="1" x14ac:dyDescent="0.3">
      <c r="A27" s="44"/>
      <c r="B27" s="11" t="str">
        <f>CONCATENATE("          ", "5592", " - ", "FREIGHT-IN-GRAD MERCH")</f>
        <v xml:space="preserve">          5592 - FREIGHT-IN-GRAD MERCH</v>
      </c>
      <c r="C27" s="11"/>
      <c r="D27" s="2"/>
      <c r="E27" s="2"/>
      <c r="F27" s="19">
        <f t="shared" si="6"/>
        <v>0</v>
      </c>
      <c r="G27" s="2"/>
      <c r="H27" s="2"/>
      <c r="I27" s="2"/>
      <c r="J27" s="19">
        <f t="shared" si="7"/>
        <v>0</v>
      </c>
      <c r="K27" s="2"/>
      <c r="L27" s="2">
        <f t="shared" si="8"/>
        <v>0</v>
      </c>
      <c r="M27" s="2"/>
      <c r="N27" s="19">
        <f t="shared" si="9"/>
        <v>0</v>
      </c>
      <c r="O27" s="11"/>
      <c r="P27" s="2"/>
      <c r="Q27" s="2"/>
      <c r="R27" s="19">
        <f t="shared" si="10"/>
        <v>0</v>
      </c>
      <c r="S27" s="2"/>
      <c r="T27" s="2">
        <v>0</v>
      </c>
      <c r="U27" s="2"/>
      <c r="V27" s="19">
        <f t="shared" si="11"/>
        <v>0</v>
      </c>
      <c r="W27" s="2"/>
      <c r="X27" s="2">
        <f t="shared" si="12"/>
        <v>0</v>
      </c>
      <c r="Y27" s="2"/>
      <c r="Z27" s="19">
        <f t="shared" si="13"/>
        <v>0</v>
      </c>
    </row>
    <row r="28" spans="1:26" x14ac:dyDescent="0.3">
      <c r="A28" s="9"/>
      <c r="B28" s="10"/>
      <c r="C28" s="10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O28" s="10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10"/>
      <c r="B29" s="25" t="s">
        <v>107</v>
      </c>
      <c r="C29" s="25"/>
      <c r="D29" s="20">
        <f>D12-D25</f>
        <v>55943.87</v>
      </c>
      <c r="E29" s="13"/>
      <c r="F29" s="22">
        <f>IF(D$12=0,0,D29/D$12)</f>
        <v>1</v>
      </c>
      <c r="G29" s="13"/>
      <c r="H29" s="20">
        <f>H12-H25</f>
        <v>47524.27</v>
      </c>
      <c r="I29" s="13"/>
      <c r="J29" s="22">
        <f>IF(H$12=0,0,H29/H$12)</f>
        <v>1</v>
      </c>
      <c r="K29" s="15"/>
      <c r="L29" s="20">
        <f>+D29-H29</f>
        <v>8419.6000000000058</v>
      </c>
      <c r="M29" s="15"/>
      <c r="N29" s="22">
        <f>IF(H29=0,0,L29/H29)</f>
        <v>0.17716421525254372</v>
      </c>
      <c r="O29" s="26"/>
      <c r="P29" s="20">
        <f>P12-P25</f>
        <v>58475.67</v>
      </c>
      <c r="Q29" s="13"/>
      <c r="R29" s="22">
        <f>IF(P$12=0,0,P29/P$12)</f>
        <v>1</v>
      </c>
      <c r="S29" s="13"/>
      <c r="T29" s="20">
        <f>T12-T25</f>
        <v>52372.140000000007</v>
      </c>
      <c r="U29" s="13"/>
      <c r="V29" s="22">
        <f>IF(T$12=0,0,T29/T$12)</f>
        <v>1</v>
      </c>
      <c r="W29" s="15"/>
      <c r="X29" s="20">
        <f>+P29-T29</f>
        <v>6103.5299999999916</v>
      </c>
      <c r="Y29" s="15"/>
      <c r="Z29" s="22">
        <f>IF(T29=0,0,X29/T29)</f>
        <v>0.11654154288902441</v>
      </c>
    </row>
    <row r="30" spans="1:26" x14ac:dyDescent="0.3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6" t="s">
        <v>294</v>
      </c>
      <c r="C31" s="10"/>
      <c r="D31" s="21">
        <f>SUM(OSRRefD22x_0)</f>
        <v>17838.41</v>
      </c>
      <c r="E31" s="21"/>
      <c r="F31" s="32">
        <f t="shared" ref="F31:F40" si="14">IF(D$12=0,0,D31/D$12)</f>
        <v>0.31886263856969493</v>
      </c>
      <c r="G31" s="21"/>
      <c r="H31" s="21">
        <f>SUM(OSRRefH22x_0)</f>
        <v>-50410.61</v>
      </c>
      <c r="I31" s="21"/>
      <c r="J31" s="32">
        <f t="shared" ref="J31:J40" si="15">IF(H$12=0,0,H31/H$12)</f>
        <v>-1.0607340207435065</v>
      </c>
      <c r="K31" s="4"/>
      <c r="L31" s="21">
        <f t="shared" ref="L31:L40" si="16">+D31-H31</f>
        <v>68249.02</v>
      </c>
      <c r="M31" s="4"/>
      <c r="N31" s="32">
        <f t="shared" ref="N31:N40" si="17">IF(H31=0,0,L31/H31)</f>
        <v>-1.3538622127365649</v>
      </c>
      <c r="O31" s="10"/>
      <c r="P31" s="21">
        <f>SUM(OSRRefP22x_0)</f>
        <v>55497.29</v>
      </c>
      <c r="Q31" s="21"/>
      <c r="R31" s="32">
        <f t="shared" ref="R31:R40" si="18">IF(P$12=0,0,P31/P$12)</f>
        <v>0.94906633818817299</v>
      </c>
      <c r="S31" s="21"/>
      <c r="T31" s="21">
        <f>SUM(OSRRefT22x_0)</f>
        <v>-1256.6599999999894</v>
      </c>
      <c r="U31" s="21"/>
      <c r="V31" s="32">
        <f t="shared" ref="V31:V40" si="19">IF(T$12=0,0,T31/T$12)</f>
        <v>-2.3994818619212224E-2</v>
      </c>
      <c r="W31" s="4"/>
      <c r="X31" s="21">
        <f t="shared" ref="X31:X40" si="20">+P31-T31</f>
        <v>56753.94999999999</v>
      </c>
      <c r="Y31" s="4"/>
      <c r="Z31" s="32">
        <f t="shared" ref="Z31:Z40" si="21">IF(T31=0,0,X31/T31)</f>
        <v>-45.162534018748481</v>
      </c>
    </row>
    <row r="32" spans="1:26" s="28" customFormat="1" outlineLevel="1" collapsed="1" x14ac:dyDescent="0.3">
      <c r="A32" s="29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9174.36</v>
      </c>
      <c r="E32" s="1"/>
      <c r="F32" s="5">
        <f t="shared" si="14"/>
        <v>0.16399223006917468</v>
      </c>
      <c r="G32" s="1"/>
      <c r="H32" s="1">
        <f>SUM(OSRRefH22_0x_0)</f>
        <v>8903.2699999999986</v>
      </c>
      <c r="I32" s="1"/>
      <c r="J32" s="5">
        <f t="shared" si="15"/>
        <v>0.18734154149027432</v>
      </c>
      <c r="K32" s="1"/>
      <c r="L32" s="1">
        <f t="shared" si="16"/>
        <v>271.09000000000196</v>
      </c>
      <c r="M32" s="1"/>
      <c r="N32" s="5">
        <f t="shared" si="17"/>
        <v>3.0448363354138648E-2</v>
      </c>
      <c r="O32" s="14"/>
      <c r="P32" s="1">
        <f>SUM(OSRRefP22_0x_0)</f>
        <v>18095.68</v>
      </c>
      <c r="Q32" s="1"/>
      <c r="R32" s="5">
        <f t="shared" si="18"/>
        <v>0.30945656543995137</v>
      </c>
      <c r="S32" s="1"/>
      <c r="T32" s="1">
        <f>SUM(OSRRefT22_0x_0)</f>
        <v>16833.55</v>
      </c>
      <c r="U32" s="1"/>
      <c r="V32" s="5">
        <f t="shared" si="19"/>
        <v>0.32142184757010117</v>
      </c>
      <c r="W32" s="1"/>
      <c r="X32" s="1">
        <f t="shared" si="20"/>
        <v>1262.130000000001</v>
      </c>
      <c r="Y32" s="1"/>
      <c r="Z32" s="5">
        <f t="shared" si="21"/>
        <v>7.4977054750780495E-2</v>
      </c>
    </row>
    <row r="33" spans="1:26" s="24" customFormat="1" hidden="1" outlineLevel="2" x14ac:dyDescent="0.3">
      <c r="A33" s="27"/>
      <c r="B33" s="11" t="str">
        <f>CONCATENATE("          ", "6111", " - ", "F.I.C.A.")</f>
        <v xml:space="preserve">          6111 - F.I.C.A.</v>
      </c>
      <c r="C33" s="11"/>
      <c r="D33" s="7">
        <v>1387.4</v>
      </c>
      <c r="E33" s="2"/>
      <c r="F33" s="8">
        <f t="shared" si="14"/>
        <v>2.4799857428526129E-2</v>
      </c>
      <c r="G33" s="2"/>
      <c r="H33" s="7">
        <v>1290.1199999999999</v>
      </c>
      <c r="I33" s="2"/>
      <c r="J33" s="8">
        <f t="shared" si="15"/>
        <v>2.7146550594043844E-2</v>
      </c>
      <c r="K33" s="2"/>
      <c r="L33" s="7">
        <f t="shared" si="16"/>
        <v>97.2800000000002</v>
      </c>
      <c r="M33" s="2"/>
      <c r="N33" s="8">
        <f t="shared" si="17"/>
        <v>7.5403838402629375E-2</v>
      </c>
      <c r="O33" s="11"/>
      <c r="P33" s="7">
        <v>2634.91</v>
      </c>
      <c r="Q33" s="2"/>
      <c r="R33" s="8">
        <f t="shared" si="18"/>
        <v>4.5059936893412249E-2</v>
      </c>
      <c r="S33" s="2"/>
      <c r="T33" s="7">
        <v>2333.48</v>
      </c>
      <c r="U33" s="2"/>
      <c r="V33" s="8">
        <f t="shared" si="19"/>
        <v>4.4555750442888141E-2</v>
      </c>
      <c r="W33" s="2"/>
      <c r="X33" s="7">
        <f t="shared" si="20"/>
        <v>301.42999999999984</v>
      </c>
      <c r="Y33" s="2"/>
      <c r="Z33" s="8">
        <f t="shared" si="21"/>
        <v>0.12917616606956128</v>
      </c>
    </row>
    <row r="34" spans="1:26" s="24" customFormat="1" hidden="1" outlineLevel="2" x14ac:dyDescent="0.3">
      <c r="A34" s="27"/>
      <c r="B34" s="11" t="str">
        <f>CONCATENATE("          ", "6112", " - ", "COMPENSATION INSURANCE")</f>
        <v xml:space="preserve">          6112 - COMPENSATION INSURANCE</v>
      </c>
      <c r="C34" s="11"/>
      <c r="D34" s="7">
        <v>285</v>
      </c>
      <c r="E34" s="2"/>
      <c r="F34" s="8">
        <f t="shared" si="14"/>
        <v>5.0943919324851856E-3</v>
      </c>
      <c r="G34" s="2"/>
      <c r="H34" s="7">
        <v>311.95999999999998</v>
      </c>
      <c r="I34" s="2"/>
      <c r="J34" s="8">
        <f t="shared" si="15"/>
        <v>6.5642249738922867E-3</v>
      </c>
      <c r="K34" s="2"/>
      <c r="L34" s="7">
        <f t="shared" si="16"/>
        <v>-26.95999999999998</v>
      </c>
      <c r="M34" s="2"/>
      <c r="N34" s="8">
        <f t="shared" si="17"/>
        <v>-8.6421336068726706E-2</v>
      </c>
      <c r="O34" s="11"/>
      <c r="P34" s="7">
        <v>536.73</v>
      </c>
      <c r="Q34" s="2"/>
      <c r="R34" s="8">
        <f t="shared" si="18"/>
        <v>9.1786891881700545E-3</v>
      </c>
      <c r="S34" s="2"/>
      <c r="T34" s="7">
        <v>605.57000000000005</v>
      </c>
      <c r="U34" s="2"/>
      <c r="V34" s="8">
        <f t="shared" si="19"/>
        <v>1.1562827106167515E-2</v>
      </c>
      <c r="W34" s="2"/>
      <c r="X34" s="7">
        <f t="shared" si="20"/>
        <v>-68.840000000000032</v>
      </c>
      <c r="Y34" s="2"/>
      <c r="Z34" s="8">
        <f t="shared" si="21"/>
        <v>-0.11367802235909974</v>
      </c>
    </row>
    <row r="35" spans="1:26" s="24" customFormat="1" hidden="1" outlineLevel="2" x14ac:dyDescent="0.3">
      <c r="A35" s="27"/>
      <c r="B35" s="11" t="str">
        <f>CONCATENATE("          ", "6113", " - ", "GROUP INSURANCE")</f>
        <v xml:space="preserve">          6113 - GROUP INSURANCE</v>
      </c>
      <c r="C35" s="11"/>
      <c r="D35" s="7">
        <v>3410.23</v>
      </c>
      <c r="E35" s="2"/>
      <c r="F35" s="8">
        <f t="shared" si="14"/>
        <v>6.0958063859364753E-2</v>
      </c>
      <c r="G35" s="2"/>
      <c r="H35" s="7">
        <v>3321.73</v>
      </c>
      <c r="I35" s="2"/>
      <c r="J35" s="8">
        <f t="shared" si="15"/>
        <v>6.9895445001048939E-2</v>
      </c>
      <c r="K35" s="2"/>
      <c r="L35" s="7">
        <f t="shared" si="16"/>
        <v>88.5</v>
      </c>
      <c r="M35" s="2"/>
      <c r="N35" s="8">
        <f t="shared" si="17"/>
        <v>2.6642743389739685E-2</v>
      </c>
      <c r="O35" s="11"/>
      <c r="P35" s="7">
        <v>6820.46</v>
      </c>
      <c r="Q35" s="2"/>
      <c r="R35" s="8">
        <f t="shared" si="18"/>
        <v>0.11663756909497575</v>
      </c>
      <c r="S35" s="2"/>
      <c r="T35" s="7">
        <v>6046.21</v>
      </c>
      <c r="U35" s="2"/>
      <c r="V35" s="8">
        <f t="shared" si="19"/>
        <v>0.11544706784943291</v>
      </c>
      <c r="W35" s="2"/>
      <c r="X35" s="7">
        <f t="shared" si="20"/>
        <v>774.25</v>
      </c>
      <c r="Y35" s="2"/>
      <c r="Z35" s="8">
        <f t="shared" si="21"/>
        <v>0.12805542645723519</v>
      </c>
    </row>
    <row r="36" spans="1:26" s="24" customFormat="1" hidden="1" outlineLevel="2" x14ac:dyDescent="0.3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7">
        <v>50.07</v>
      </c>
      <c r="E36" s="2"/>
      <c r="F36" s="8">
        <f t="shared" si="14"/>
        <v>8.9500422477029203E-4</v>
      </c>
      <c r="G36" s="2"/>
      <c r="H36" s="7">
        <v>43.84</v>
      </c>
      <c r="I36" s="2"/>
      <c r="J36" s="8">
        <f t="shared" si="15"/>
        <v>9.2247603172021379E-4</v>
      </c>
      <c r="K36" s="2"/>
      <c r="L36" s="7">
        <f t="shared" si="16"/>
        <v>6.2299999999999969</v>
      </c>
      <c r="M36" s="2"/>
      <c r="N36" s="8">
        <f t="shared" si="17"/>
        <v>0.14210766423357657</v>
      </c>
      <c r="O36" s="11"/>
      <c r="P36" s="7">
        <v>94.29</v>
      </c>
      <c r="Q36" s="2"/>
      <c r="R36" s="8">
        <f t="shared" si="18"/>
        <v>1.6124654920584923E-3</v>
      </c>
      <c r="S36" s="2"/>
      <c r="T36" s="7">
        <v>85.1</v>
      </c>
      <c r="U36" s="2"/>
      <c r="V36" s="8">
        <f t="shared" si="19"/>
        <v>1.6249097325410035E-3</v>
      </c>
      <c r="W36" s="2"/>
      <c r="X36" s="7">
        <f t="shared" si="20"/>
        <v>9.1900000000000119</v>
      </c>
      <c r="Y36" s="2"/>
      <c r="Z36" s="8">
        <f t="shared" si="21"/>
        <v>0.10799059929494727</v>
      </c>
    </row>
    <row r="37" spans="1:26" s="24" customFormat="1" hidden="1" outlineLevel="2" x14ac:dyDescent="0.3">
      <c r="A37" s="27"/>
      <c r="B37" s="11" t="str">
        <f>CONCATENATE("          ", "6115", " - ", "P.E.R.S.")</f>
        <v xml:space="preserve">          6115 - P.E.R.S.</v>
      </c>
      <c r="C37" s="11"/>
      <c r="D37" s="7">
        <v>1590.79</v>
      </c>
      <c r="E37" s="2"/>
      <c r="F37" s="8">
        <f t="shared" si="14"/>
        <v>2.8435465762379326E-2</v>
      </c>
      <c r="G37" s="2"/>
      <c r="H37" s="7">
        <v>1614.45</v>
      </c>
      <c r="I37" s="2"/>
      <c r="J37" s="8">
        <f t="shared" si="15"/>
        <v>3.3971063627068865E-2</v>
      </c>
      <c r="K37" s="2"/>
      <c r="L37" s="7">
        <f t="shared" si="16"/>
        <v>-23.660000000000082</v>
      </c>
      <c r="M37" s="2"/>
      <c r="N37" s="8">
        <f t="shared" si="17"/>
        <v>-1.4655145715259117E-2</v>
      </c>
      <c r="O37" s="11"/>
      <c r="P37" s="7">
        <v>3181.58</v>
      </c>
      <c r="Q37" s="2"/>
      <c r="R37" s="8">
        <f t="shared" si="18"/>
        <v>5.4408611307916611E-2</v>
      </c>
      <c r="S37" s="2"/>
      <c r="T37" s="7">
        <v>3680.91</v>
      </c>
      <c r="U37" s="2"/>
      <c r="V37" s="8">
        <f t="shared" si="19"/>
        <v>7.028374246307291E-2</v>
      </c>
      <c r="W37" s="2"/>
      <c r="X37" s="7">
        <f t="shared" si="20"/>
        <v>-499.32999999999993</v>
      </c>
      <c r="Y37" s="2"/>
      <c r="Z37" s="8">
        <f t="shared" si="21"/>
        <v>-0.13565395513609405</v>
      </c>
    </row>
    <row r="38" spans="1:26" s="24" customFormat="1" hidden="1" outlineLevel="2" x14ac:dyDescent="0.3">
      <c r="A38" s="27"/>
      <c r="B38" s="11" t="str">
        <f>CONCATENATE("          ", "6118", " - ", "VACATION")</f>
        <v xml:space="preserve">          6118 - VACATION</v>
      </c>
      <c r="C38" s="11"/>
      <c r="D38" s="7">
        <v>1216.0999999999999</v>
      </c>
      <c r="E38" s="2"/>
      <c r="F38" s="8">
        <f t="shared" si="14"/>
        <v>2.1737859751211345E-2</v>
      </c>
      <c r="G38" s="2"/>
      <c r="H38" s="7">
        <v>1216.0999999999999</v>
      </c>
      <c r="I38" s="2"/>
      <c r="J38" s="8">
        <f t="shared" si="15"/>
        <v>2.5589030615304559E-2</v>
      </c>
      <c r="K38" s="2"/>
      <c r="L38" s="7">
        <f t="shared" si="16"/>
        <v>0</v>
      </c>
      <c r="M38" s="2"/>
      <c r="N38" s="8">
        <f t="shared" si="17"/>
        <v>0</v>
      </c>
      <c r="O38" s="11"/>
      <c r="P38" s="7">
        <v>2432.1999999999998</v>
      </c>
      <c r="Q38" s="2"/>
      <c r="R38" s="8">
        <f t="shared" si="18"/>
        <v>4.1593366950733526E-2</v>
      </c>
      <c r="S38" s="2"/>
      <c r="T38" s="7">
        <v>2194.98</v>
      </c>
      <c r="U38" s="2"/>
      <c r="V38" s="8">
        <f t="shared" si="19"/>
        <v>4.1911214626708014E-2</v>
      </c>
      <c r="W38" s="2"/>
      <c r="X38" s="7">
        <f t="shared" si="20"/>
        <v>237.2199999999998</v>
      </c>
      <c r="Y38" s="2"/>
      <c r="Z38" s="8">
        <f t="shared" si="21"/>
        <v>0.10807387766631121</v>
      </c>
    </row>
    <row r="39" spans="1:26" s="24" customFormat="1" hidden="1" outlineLevel="2" x14ac:dyDescent="0.3">
      <c r="A39" s="27"/>
      <c r="B39" s="11" t="str">
        <f>CONCATENATE("          ", "6119", " - ", "SICK LEAVE")</f>
        <v xml:space="preserve">          6119 - SICK LEAVE</v>
      </c>
      <c r="C39" s="11"/>
      <c r="D39" s="7">
        <v>738.5</v>
      </c>
      <c r="E39" s="2"/>
      <c r="F39" s="8">
        <f t="shared" si="14"/>
        <v>1.320073137593091E-2</v>
      </c>
      <c r="G39" s="2"/>
      <c r="H39" s="7">
        <v>738.5</v>
      </c>
      <c r="I39" s="2"/>
      <c r="J39" s="8">
        <f t="shared" si="15"/>
        <v>1.5539428590907341E-2</v>
      </c>
      <c r="K39" s="2"/>
      <c r="L39" s="7">
        <f t="shared" si="16"/>
        <v>0</v>
      </c>
      <c r="M39" s="2"/>
      <c r="N39" s="8">
        <f t="shared" si="17"/>
        <v>0</v>
      </c>
      <c r="O39" s="11"/>
      <c r="P39" s="7">
        <v>1477</v>
      </c>
      <c r="Q39" s="2"/>
      <c r="R39" s="8">
        <f t="shared" si="18"/>
        <v>2.5258368138406966E-2</v>
      </c>
      <c r="S39" s="2"/>
      <c r="T39" s="7">
        <v>1371.02</v>
      </c>
      <c r="U39" s="2"/>
      <c r="V39" s="8">
        <f t="shared" si="19"/>
        <v>2.6178422344399137E-2</v>
      </c>
      <c r="W39" s="2"/>
      <c r="X39" s="7">
        <f t="shared" si="20"/>
        <v>105.98000000000002</v>
      </c>
      <c r="Y39" s="2"/>
      <c r="Z39" s="8">
        <f t="shared" si="21"/>
        <v>7.7300112325130205E-2</v>
      </c>
    </row>
    <row r="40" spans="1:26" s="24" customFormat="1" hidden="1" outlineLevel="2" x14ac:dyDescent="0.3">
      <c r="A40" s="27"/>
      <c r="B40" s="11" t="str">
        <f>CONCATENATE("          ", "6156", " - ", "EMPLOYEE MEALS")</f>
        <v xml:space="preserve">          6156 - EMPLOYEE MEALS</v>
      </c>
      <c r="C40" s="11"/>
      <c r="D40" s="7">
        <v>496.27</v>
      </c>
      <c r="E40" s="2"/>
      <c r="F40" s="8">
        <f t="shared" si="14"/>
        <v>8.8708557345067475E-3</v>
      </c>
      <c r="G40" s="2"/>
      <c r="H40" s="7">
        <v>366.57</v>
      </c>
      <c r="I40" s="2"/>
      <c r="J40" s="8">
        <f t="shared" si="15"/>
        <v>7.7133220562882925E-3</v>
      </c>
      <c r="K40" s="2"/>
      <c r="L40" s="7">
        <f t="shared" si="16"/>
        <v>129.69999999999999</v>
      </c>
      <c r="M40" s="2"/>
      <c r="N40" s="8">
        <f t="shared" si="17"/>
        <v>0.35382055269116403</v>
      </c>
      <c r="O40" s="11"/>
      <c r="P40" s="7">
        <v>918.51</v>
      </c>
      <c r="Q40" s="2"/>
      <c r="R40" s="8">
        <f t="shared" si="18"/>
        <v>1.5707558374277713E-2</v>
      </c>
      <c r="S40" s="2"/>
      <c r="T40" s="7">
        <v>516.28</v>
      </c>
      <c r="U40" s="2"/>
      <c r="V40" s="8">
        <f t="shared" si="19"/>
        <v>9.857913004891531E-3</v>
      </c>
      <c r="W40" s="2"/>
      <c r="X40" s="7">
        <f t="shared" si="20"/>
        <v>402.23</v>
      </c>
      <c r="Y40" s="2"/>
      <c r="Z40" s="8">
        <f t="shared" si="21"/>
        <v>0.7790927403734409</v>
      </c>
    </row>
    <row r="41" spans="1:26" s="28" customFormat="1" outlineLevel="1" collapsed="1" x14ac:dyDescent="0.3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17940.689999999999</v>
      </c>
      <c r="E41" s="1"/>
      <c r="F41" s="5">
        <f t="shared" ref="F41:F44" si="22">IF(D$12=0,0,D41/D$12)</f>
        <v>0.32069089964637765</v>
      </c>
      <c r="G41" s="1"/>
      <c r="H41" s="1">
        <f>SUM(OSRRefH22_1x_0)</f>
        <v>13505.78</v>
      </c>
      <c r="I41" s="1"/>
      <c r="J41" s="5">
        <f t="shared" ref="J41:J44" si="23">IF(H$12=0,0,H41/H$12)</f>
        <v>0.28418700592349977</v>
      </c>
      <c r="K41" s="1"/>
      <c r="L41" s="1">
        <f t="shared" ref="L41:L44" si="24">+D41-H41</f>
        <v>4434.909999999998</v>
      </c>
      <c r="M41" s="1"/>
      <c r="N41" s="5">
        <f t="shared" ref="N41:N44" si="25">IF(H41=0,0,L41/H41)</f>
        <v>0.32837126030484709</v>
      </c>
      <c r="O41" s="14"/>
      <c r="P41" s="1">
        <f>SUM(OSRRefP22_1x_0)</f>
        <v>37382.240000000005</v>
      </c>
      <c r="Q41" s="1"/>
      <c r="R41" s="5">
        <f t="shared" ref="R41:R44" si="26">IF(P$12=0,0,P41/P$12)</f>
        <v>0.63927852387155215</v>
      </c>
      <c r="S41" s="1"/>
      <c r="T41" s="1">
        <f>SUM(OSRRefT22_1x_0)</f>
        <v>28565.72</v>
      </c>
      <c r="U41" s="1"/>
      <c r="V41" s="5">
        <f t="shared" ref="V41:V44" si="27">IF(T$12=0,0,T41/T$12)</f>
        <v>0.54543732602868622</v>
      </c>
      <c r="W41" s="1"/>
      <c r="X41" s="1">
        <f t="shared" ref="X41:X44" si="28">+P41-T41</f>
        <v>8816.5200000000041</v>
      </c>
      <c r="Y41" s="1"/>
      <c r="Z41" s="5">
        <f t="shared" ref="Z41:Z44" si="29">IF(T41=0,0,X41/T41)</f>
        <v>0.30863986624527595</v>
      </c>
    </row>
    <row r="42" spans="1:26" s="24" customFormat="1" hidden="1" outlineLevel="2" x14ac:dyDescent="0.3">
      <c r="A42" s="27"/>
      <c r="B42" s="11" t="str">
        <f>CONCATENATE("          ", "6002", " - ", "STAFF SALARIES")</f>
        <v xml:space="preserve">          6002 - STAFF SALARIES</v>
      </c>
      <c r="C42" s="11"/>
      <c r="D42" s="7">
        <v>15332.57</v>
      </c>
      <c r="E42" s="2"/>
      <c r="F42" s="8">
        <f t="shared" si="22"/>
        <v>0.27407059969215569</v>
      </c>
      <c r="G42" s="2"/>
      <c r="H42" s="7">
        <v>12050.26</v>
      </c>
      <c r="I42" s="2"/>
      <c r="J42" s="8">
        <f t="shared" si="23"/>
        <v>0.25356012833021951</v>
      </c>
      <c r="K42" s="2"/>
      <c r="L42" s="7">
        <f t="shared" si="24"/>
        <v>3282.3099999999995</v>
      </c>
      <c r="M42" s="2"/>
      <c r="N42" s="8">
        <f t="shared" si="25"/>
        <v>0.27238499418269807</v>
      </c>
      <c r="O42" s="11"/>
      <c r="P42" s="7">
        <v>34266.620000000003</v>
      </c>
      <c r="Q42" s="2"/>
      <c r="R42" s="8">
        <f t="shared" si="26"/>
        <v>0.58599790305951183</v>
      </c>
      <c r="S42" s="2"/>
      <c r="T42" s="7">
        <v>27110.2</v>
      </c>
      <c r="U42" s="2"/>
      <c r="V42" s="8">
        <f t="shared" si="27"/>
        <v>0.51764545042459598</v>
      </c>
      <c r="W42" s="2"/>
      <c r="X42" s="7">
        <f t="shared" si="28"/>
        <v>7156.4200000000019</v>
      </c>
      <c r="Y42" s="2"/>
      <c r="Z42" s="8">
        <f t="shared" si="29"/>
        <v>0.26397518277253584</v>
      </c>
    </row>
    <row r="43" spans="1:26" s="24" customFormat="1" hidden="1" outlineLevel="2" x14ac:dyDescent="0.3">
      <c r="A43" s="27"/>
      <c r="B43" s="11" t="str">
        <f>CONCATENATE("          ", "6005", " - ", "TEMPORARY WAGES-HOURLY")</f>
        <v xml:space="preserve">          6005 - TEMPORARY WAGES-HOURLY</v>
      </c>
      <c r="C43" s="11"/>
      <c r="D43" s="7"/>
      <c r="E43" s="2"/>
      <c r="F43" s="8">
        <f t="shared" si="22"/>
        <v>0</v>
      </c>
      <c r="G43" s="2"/>
      <c r="H43" s="7">
        <v>383.25</v>
      </c>
      <c r="I43" s="2"/>
      <c r="J43" s="8">
        <f t="shared" si="23"/>
        <v>8.0643006194519151E-3</v>
      </c>
      <c r="K43" s="2"/>
      <c r="L43" s="7">
        <f t="shared" si="24"/>
        <v>-383.25</v>
      </c>
      <c r="M43" s="2"/>
      <c r="N43" s="8">
        <f t="shared" si="25"/>
        <v>-1</v>
      </c>
      <c r="O43" s="11"/>
      <c r="P43" s="7"/>
      <c r="Q43" s="2"/>
      <c r="R43" s="8">
        <f t="shared" si="26"/>
        <v>0</v>
      </c>
      <c r="S43" s="2"/>
      <c r="T43" s="7">
        <v>383.25</v>
      </c>
      <c r="U43" s="2"/>
      <c r="V43" s="8">
        <f t="shared" si="27"/>
        <v>7.3178220328594546E-3</v>
      </c>
      <c r="W43" s="2"/>
      <c r="X43" s="7">
        <f t="shared" si="28"/>
        <v>-383.25</v>
      </c>
      <c r="Y43" s="2"/>
      <c r="Z43" s="8">
        <f t="shared" si="29"/>
        <v>-1</v>
      </c>
    </row>
    <row r="44" spans="1:26" s="24" customFormat="1" hidden="1" outlineLevel="2" x14ac:dyDescent="0.3">
      <c r="A44" s="27"/>
      <c r="B44" s="11" t="str">
        <f>CONCATENATE("          ", "6007", " - ", "STUDENT HOURLY")</f>
        <v xml:space="preserve">          6007 - STUDENT HOURLY</v>
      </c>
      <c r="C44" s="11"/>
      <c r="D44" s="7">
        <v>2608.12</v>
      </c>
      <c r="E44" s="2"/>
      <c r="F44" s="8">
        <f t="shared" si="22"/>
        <v>4.6620299954221969E-2</v>
      </c>
      <c r="G44" s="2"/>
      <c r="H44" s="7">
        <v>1072.27</v>
      </c>
      <c r="I44" s="2"/>
      <c r="J44" s="8">
        <f t="shared" si="23"/>
        <v>2.2562576973828321E-2</v>
      </c>
      <c r="K44" s="2"/>
      <c r="L44" s="7">
        <f t="shared" si="24"/>
        <v>1535.85</v>
      </c>
      <c r="M44" s="2"/>
      <c r="N44" s="8">
        <f t="shared" si="25"/>
        <v>1.4323351394704691</v>
      </c>
      <c r="O44" s="11"/>
      <c r="P44" s="7">
        <v>3115.62</v>
      </c>
      <c r="Q44" s="2"/>
      <c r="R44" s="8">
        <f t="shared" si="26"/>
        <v>5.328062081204029E-2</v>
      </c>
      <c r="S44" s="2"/>
      <c r="T44" s="7">
        <v>1072.27</v>
      </c>
      <c r="U44" s="2"/>
      <c r="V44" s="8">
        <f t="shared" si="27"/>
        <v>2.0474053571230808E-2</v>
      </c>
      <c r="W44" s="2"/>
      <c r="X44" s="7">
        <f t="shared" si="28"/>
        <v>2043.35</v>
      </c>
      <c r="Y44" s="2"/>
      <c r="Z44" s="8">
        <f t="shared" si="29"/>
        <v>1.9056301118188514</v>
      </c>
    </row>
    <row r="45" spans="1:26" s="28" customFormat="1" outlineLevel="1" collapsed="1" x14ac:dyDescent="0.3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SUM(OSRRefD22_2x_0)</f>
        <v>169.88</v>
      </c>
      <c r="E45" s="1"/>
      <c r="F45" s="5">
        <f t="shared" ref="F45:F53" si="30">IF(D$12=0,0,D45/D$12)</f>
        <v>3.036615092949415E-3</v>
      </c>
      <c r="G45" s="1"/>
      <c r="H45" s="1">
        <f>SUM(OSRRefH22_2x_0)</f>
        <v>169.88</v>
      </c>
      <c r="I45" s="1"/>
      <c r="J45" s="5">
        <f t="shared" ref="J45:J53" si="31">IF(H$12=0,0,H45/H$12)</f>
        <v>3.5745946229158282E-3</v>
      </c>
      <c r="K45" s="1"/>
      <c r="L45" s="1">
        <f t="shared" ref="L45:L53" si="32">+D45-H45</f>
        <v>0</v>
      </c>
      <c r="M45" s="1"/>
      <c r="N45" s="5">
        <f t="shared" ref="N45:N53" si="33">IF(H45=0,0,L45/H45)</f>
        <v>0</v>
      </c>
      <c r="O45" s="14"/>
      <c r="P45" s="1">
        <f>SUM(OSRRefP22_2x_0)</f>
        <v>339.76</v>
      </c>
      <c r="Q45" s="1"/>
      <c r="R45" s="5">
        <f t="shared" ref="R45:R53" si="34">IF(P$12=0,0,P45/P$12)</f>
        <v>5.8102797283040965E-3</v>
      </c>
      <c r="S45" s="1"/>
      <c r="T45" s="1">
        <f>SUM(OSRRefT22_2x_0)</f>
        <v>339.76</v>
      </c>
      <c r="U45" s="1"/>
      <c r="V45" s="5">
        <f t="shared" ref="V45:V53" si="35">IF(T$12=0,0,T45/T$12)</f>
        <v>6.4874186924574776E-3</v>
      </c>
      <c r="W45" s="1"/>
      <c r="X45" s="1">
        <f t="shared" ref="X45:X53" si="36">+P45-T45</f>
        <v>0</v>
      </c>
      <c r="Y45" s="1"/>
      <c r="Z45" s="5">
        <f t="shared" ref="Z45:Z53" si="37">IF(T45=0,0,X45/T45)</f>
        <v>0</v>
      </c>
    </row>
    <row r="46" spans="1:26" s="24" customFormat="1" hidden="1" outlineLevel="2" x14ac:dyDescent="0.3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169.88</v>
      </c>
      <c r="E46" s="2"/>
      <c r="F46" s="8">
        <f t="shared" si="30"/>
        <v>3.036615092949415E-3</v>
      </c>
      <c r="G46" s="2"/>
      <c r="H46" s="7">
        <v>169.88</v>
      </c>
      <c r="I46" s="2"/>
      <c r="J46" s="8">
        <f t="shared" si="31"/>
        <v>3.5745946229158282E-3</v>
      </c>
      <c r="K46" s="2"/>
      <c r="L46" s="7">
        <f t="shared" si="32"/>
        <v>0</v>
      </c>
      <c r="M46" s="2"/>
      <c r="N46" s="8">
        <f t="shared" si="33"/>
        <v>0</v>
      </c>
      <c r="O46" s="11"/>
      <c r="P46" s="7">
        <v>339.76</v>
      </c>
      <c r="Q46" s="2"/>
      <c r="R46" s="8">
        <f t="shared" si="34"/>
        <v>5.8102797283040965E-3</v>
      </c>
      <c r="S46" s="2"/>
      <c r="T46" s="7">
        <v>339.76</v>
      </c>
      <c r="U46" s="2"/>
      <c r="V46" s="8">
        <f t="shared" si="35"/>
        <v>6.4874186924574776E-3</v>
      </c>
      <c r="W46" s="2"/>
      <c r="X46" s="7">
        <f t="shared" si="36"/>
        <v>0</v>
      </c>
      <c r="Y46" s="2"/>
      <c r="Z46" s="8">
        <f t="shared" si="37"/>
        <v>0</v>
      </c>
    </row>
    <row r="47" spans="1:26" s="28" customFormat="1" outlineLevel="1" collapsed="1" x14ac:dyDescent="0.3">
      <c r="A47" s="29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SUM(OSRRefD22_3x_0)</f>
        <v>0</v>
      </c>
      <c r="E47" s="1"/>
      <c r="F47" s="5">
        <f t="shared" si="30"/>
        <v>0</v>
      </c>
      <c r="G47" s="1"/>
      <c r="H47" s="1">
        <f>SUM(OSRRefH22_3x_0)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SUM(OSRRefP22_3x_0)</f>
        <v>0</v>
      </c>
      <c r="Q47" s="1"/>
      <c r="R47" s="5">
        <f t="shared" si="34"/>
        <v>0</v>
      </c>
      <c r="S47" s="1"/>
      <c r="T47" s="1">
        <f>SUM(OSRRefT22_3x_0)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3">
      <c r="A48" s="27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8">
        <f t="shared" si="30"/>
        <v>0</v>
      </c>
      <c r="G48" s="2"/>
      <c r="H48" s="7">
        <v>0</v>
      </c>
      <c r="I48" s="2"/>
      <c r="J48" s="8">
        <f t="shared" si="31"/>
        <v>0</v>
      </c>
      <c r="K48" s="2"/>
      <c r="L48" s="7">
        <f t="shared" si="32"/>
        <v>0</v>
      </c>
      <c r="M48" s="2"/>
      <c r="N48" s="8">
        <f t="shared" si="33"/>
        <v>0</v>
      </c>
      <c r="O48" s="11"/>
      <c r="P48" s="7"/>
      <c r="Q48" s="2"/>
      <c r="R48" s="8">
        <f t="shared" si="34"/>
        <v>0</v>
      </c>
      <c r="S48" s="2"/>
      <c r="T48" s="7">
        <v>0</v>
      </c>
      <c r="U48" s="2"/>
      <c r="V48" s="8">
        <f t="shared" si="35"/>
        <v>0</v>
      </c>
      <c r="W48" s="2"/>
      <c r="X48" s="7">
        <f t="shared" si="36"/>
        <v>0</v>
      </c>
      <c r="Y48" s="2"/>
      <c r="Z48" s="8">
        <f t="shared" si="37"/>
        <v>0</v>
      </c>
    </row>
    <row r="49" spans="1:26" s="28" customFormat="1" outlineLevel="1" collapsed="1" x14ac:dyDescent="0.3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SUM(OSRRefD22_4x_0)</f>
        <v>1205.6400000000001</v>
      </c>
      <c r="E49" s="1"/>
      <c r="F49" s="5">
        <f t="shared" si="30"/>
        <v>2.1550886629759437E-2</v>
      </c>
      <c r="G49" s="1"/>
      <c r="H49" s="1">
        <f>SUM(OSRRefH22_4x_0)</f>
        <v>1205.6400000000001</v>
      </c>
      <c r="I49" s="1"/>
      <c r="J49" s="5">
        <f t="shared" si="31"/>
        <v>2.5368932547517303E-2</v>
      </c>
      <c r="K49" s="1"/>
      <c r="L49" s="1">
        <f t="shared" si="32"/>
        <v>0</v>
      </c>
      <c r="M49" s="1"/>
      <c r="N49" s="5">
        <f t="shared" si="33"/>
        <v>0</v>
      </c>
      <c r="O49" s="14"/>
      <c r="P49" s="1">
        <f>SUM(OSRRefP22_4x_0)</f>
        <v>2411.2800000000002</v>
      </c>
      <c r="Q49" s="1"/>
      <c r="R49" s="5">
        <f t="shared" si="34"/>
        <v>4.1235611323478638E-2</v>
      </c>
      <c r="S49" s="1"/>
      <c r="T49" s="1">
        <f>SUM(OSRRefT22_4x_0)</f>
        <v>2411.2800000000002</v>
      </c>
      <c r="U49" s="1"/>
      <c r="V49" s="5">
        <f t="shared" si="35"/>
        <v>4.6041273089088966E-2</v>
      </c>
      <c r="W49" s="1"/>
      <c r="X49" s="1">
        <f t="shared" si="36"/>
        <v>0</v>
      </c>
      <c r="Y49" s="1"/>
      <c r="Z49" s="5">
        <f t="shared" si="37"/>
        <v>0</v>
      </c>
    </row>
    <row r="50" spans="1:26" s="24" customFormat="1" hidden="1" outlineLevel="2" x14ac:dyDescent="0.3">
      <c r="A50" s="27"/>
      <c r="B50" s="11" t="str">
        <f>CONCATENATE("          ", "6351", " - ", "EQUIPMENT RENTAL")</f>
        <v xml:space="preserve">          6351 - EQUIPMENT RENTAL</v>
      </c>
      <c r="C50" s="11"/>
      <c r="D50" s="7">
        <v>1205.6400000000001</v>
      </c>
      <c r="E50" s="2"/>
      <c r="F50" s="8">
        <f t="shared" si="30"/>
        <v>2.1550886629759437E-2</v>
      </c>
      <c r="G50" s="2"/>
      <c r="H50" s="7">
        <v>1205.6400000000001</v>
      </c>
      <c r="I50" s="2"/>
      <c r="J50" s="8">
        <f t="shared" si="31"/>
        <v>2.5368932547517303E-2</v>
      </c>
      <c r="K50" s="2"/>
      <c r="L50" s="7">
        <f t="shared" si="32"/>
        <v>0</v>
      </c>
      <c r="M50" s="2"/>
      <c r="N50" s="8">
        <f t="shared" si="33"/>
        <v>0</v>
      </c>
      <c r="O50" s="11"/>
      <c r="P50" s="7">
        <v>2411.2800000000002</v>
      </c>
      <c r="Q50" s="2"/>
      <c r="R50" s="8">
        <f t="shared" si="34"/>
        <v>4.1235611323478638E-2</v>
      </c>
      <c r="S50" s="2"/>
      <c r="T50" s="7">
        <v>2411.2800000000002</v>
      </c>
      <c r="U50" s="2"/>
      <c r="V50" s="8">
        <f t="shared" si="35"/>
        <v>4.6041273089088966E-2</v>
      </c>
      <c r="W50" s="2"/>
      <c r="X50" s="7">
        <f t="shared" si="36"/>
        <v>0</v>
      </c>
      <c r="Y50" s="2"/>
      <c r="Z50" s="8">
        <f t="shared" si="37"/>
        <v>0</v>
      </c>
    </row>
    <row r="51" spans="1:26" s="28" customFormat="1" outlineLevel="1" collapsed="1" x14ac:dyDescent="0.3">
      <c r="A51" s="29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SUM(OSRRefD22_5x_0)</f>
        <v>-20187.95</v>
      </c>
      <c r="E51" s="1"/>
      <c r="F51" s="5">
        <f t="shared" si="30"/>
        <v>-0.36086080566110279</v>
      </c>
      <c r="G51" s="1"/>
      <c r="H51" s="1">
        <f>SUM(OSRRefH22_5x_0)</f>
        <v>-84423.840000000011</v>
      </c>
      <c r="I51" s="1"/>
      <c r="J51" s="5">
        <f t="shared" si="31"/>
        <v>-1.776436334529705</v>
      </c>
      <c r="K51" s="1"/>
      <c r="L51" s="1">
        <f t="shared" si="32"/>
        <v>64235.890000000014</v>
      </c>
      <c r="M51" s="1"/>
      <c r="N51" s="5">
        <f t="shared" si="33"/>
        <v>-0.76087382426575245</v>
      </c>
      <c r="O51" s="14"/>
      <c r="P51" s="1">
        <f>SUM(OSRRefP22_5x_0)</f>
        <v>-17904.090000000004</v>
      </c>
      <c r="Q51" s="1"/>
      <c r="R51" s="5">
        <f t="shared" si="34"/>
        <v>-0.30618016005631066</v>
      </c>
      <c r="S51" s="1"/>
      <c r="T51" s="1">
        <f>SUM(OSRRefT22_5x_0)</f>
        <v>-75679.079999999987</v>
      </c>
      <c r="U51" s="1"/>
      <c r="V51" s="5">
        <f t="shared" si="35"/>
        <v>-1.4450255422062184</v>
      </c>
      <c r="W51" s="1"/>
      <c r="X51" s="1">
        <f t="shared" si="36"/>
        <v>57774.989999999983</v>
      </c>
      <c r="Y51" s="1"/>
      <c r="Z51" s="5">
        <f t="shared" si="37"/>
        <v>-0.76342088196632407</v>
      </c>
    </row>
    <row r="52" spans="1:26" s="24" customFormat="1" hidden="1" outlineLevel="2" x14ac:dyDescent="0.3">
      <c r="A52" s="27"/>
      <c r="B52" s="11" t="str">
        <f>CONCATENATE("          ", "6305", " - ", "FREIGHT OUT")</f>
        <v xml:space="preserve">          6305 - FREIGHT OUT</v>
      </c>
      <c r="C52" s="11"/>
      <c r="D52" s="7">
        <v>4220.1899999999996</v>
      </c>
      <c r="E52" s="2"/>
      <c r="F52" s="8">
        <f t="shared" si="30"/>
        <v>7.5436146980893515E-2</v>
      </c>
      <c r="G52" s="2"/>
      <c r="H52" s="7">
        <v>7873.15</v>
      </c>
      <c r="I52" s="2"/>
      <c r="J52" s="8">
        <f t="shared" si="31"/>
        <v>0.16566587977048358</v>
      </c>
      <c r="K52" s="2"/>
      <c r="L52" s="7">
        <f t="shared" si="32"/>
        <v>-3652.96</v>
      </c>
      <c r="M52" s="2"/>
      <c r="N52" s="8">
        <f t="shared" si="33"/>
        <v>-0.46397693426392234</v>
      </c>
      <c r="O52" s="11"/>
      <c r="P52" s="7">
        <v>14131.31</v>
      </c>
      <c r="Q52" s="2"/>
      <c r="R52" s="8">
        <f t="shared" si="34"/>
        <v>0.24166136104126726</v>
      </c>
      <c r="S52" s="2"/>
      <c r="T52" s="7">
        <v>19778.349999999999</v>
      </c>
      <c r="U52" s="2"/>
      <c r="V52" s="8">
        <f t="shared" si="35"/>
        <v>0.37765021631730145</v>
      </c>
      <c r="W52" s="2"/>
      <c r="X52" s="7">
        <f t="shared" si="36"/>
        <v>-5647.0399999999991</v>
      </c>
      <c r="Y52" s="2"/>
      <c r="Z52" s="8">
        <f t="shared" si="37"/>
        <v>-0.28551623365953172</v>
      </c>
    </row>
    <row r="53" spans="1:26" s="24" customFormat="1" hidden="1" outlineLevel="2" x14ac:dyDescent="0.3">
      <c r="A53" s="27"/>
      <c r="B53" s="11" t="str">
        <f>CONCATENATE("          ", "6307", " - ", "POSTAGE")</f>
        <v xml:space="preserve">          6307 - POSTAGE</v>
      </c>
      <c r="C53" s="11"/>
      <c r="D53" s="7">
        <v>-24408.14</v>
      </c>
      <c r="E53" s="2"/>
      <c r="F53" s="8">
        <f t="shared" si="30"/>
        <v>-0.43629695264199631</v>
      </c>
      <c r="G53" s="2"/>
      <c r="H53" s="7">
        <v>-92296.99</v>
      </c>
      <c r="I53" s="2"/>
      <c r="J53" s="8">
        <f t="shared" si="31"/>
        <v>-1.9421022143001883</v>
      </c>
      <c r="K53" s="2"/>
      <c r="L53" s="7">
        <f t="shared" si="32"/>
        <v>67888.850000000006</v>
      </c>
      <c r="M53" s="2"/>
      <c r="N53" s="8">
        <f t="shared" si="33"/>
        <v>-0.73554782230709803</v>
      </c>
      <c r="O53" s="11"/>
      <c r="P53" s="7">
        <v>-32035.4</v>
      </c>
      <c r="Q53" s="2"/>
      <c r="R53" s="8">
        <f t="shared" si="34"/>
        <v>-0.54784152109757789</v>
      </c>
      <c r="S53" s="2"/>
      <c r="T53" s="7">
        <v>-95457.43</v>
      </c>
      <c r="U53" s="2"/>
      <c r="V53" s="8">
        <f t="shared" si="35"/>
        <v>-1.82267575852352</v>
      </c>
      <c r="W53" s="2"/>
      <c r="X53" s="7">
        <f t="shared" si="36"/>
        <v>63422.029999999992</v>
      </c>
      <c r="Y53" s="2"/>
      <c r="Z53" s="8">
        <f t="shared" si="37"/>
        <v>-0.66440118909549517</v>
      </c>
    </row>
    <row r="54" spans="1:26" s="28" customFormat="1" outlineLevel="1" collapsed="1" x14ac:dyDescent="0.3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SUM(OSRRefD22_6x_0)</f>
        <v>1731.54</v>
      </c>
      <c r="E54" s="1"/>
      <c r="F54" s="5">
        <f t="shared" ref="F54:F56" si="38">IF(D$12=0,0,D54/D$12)</f>
        <v>3.095138037465052E-2</v>
      </c>
      <c r="G54" s="1"/>
      <c r="H54" s="1">
        <f>SUM(OSRRefH22_6x_0)</f>
        <v>5225.0200000000004</v>
      </c>
      <c r="I54" s="1"/>
      <c r="J54" s="5">
        <f t="shared" ref="J54:J56" si="39">IF(H$12=0,0,H54/H$12)</f>
        <v>0.10994424532980729</v>
      </c>
      <c r="K54" s="1"/>
      <c r="L54" s="1">
        <f t="shared" ref="L54:L56" si="40">+D54-H54</f>
        <v>-3493.4800000000005</v>
      </c>
      <c r="M54" s="1"/>
      <c r="N54" s="5">
        <f t="shared" ref="N54:N56" si="41">IF(H54=0,0,L54/H54)</f>
        <v>-0.6686060531825716</v>
      </c>
      <c r="O54" s="14"/>
      <c r="P54" s="1">
        <f>SUM(OSRRefP22_6x_0)</f>
        <v>4077.52</v>
      </c>
      <c r="Q54" s="1"/>
      <c r="R54" s="5">
        <f t="shared" ref="R54:R56" si="42">IF(P$12=0,0,P54/P$12)</f>
        <v>6.9730197191413115E-2</v>
      </c>
      <c r="S54" s="1"/>
      <c r="T54" s="1">
        <f>SUM(OSRRefT22_6x_0)</f>
        <v>11603.12</v>
      </c>
      <c r="U54" s="1"/>
      <c r="V54" s="5">
        <f t="shared" ref="V54:V56" si="43">IF(T$12=0,0,T54/T$12)</f>
        <v>0.22155138208979047</v>
      </c>
      <c r="W54" s="1"/>
      <c r="X54" s="1">
        <f t="shared" ref="X54:X56" si="44">+P54-T54</f>
        <v>-7525.6</v>
      </c>
      <c r="Y54" s="1"/>
      <c r="Z54" s="5">
        <f t="shared" ref="Z54:Z56" si="45">IF(T54=0,0,X54/T54)</f>
        <v>-0.64858417391184442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7">
        <v>55.74</v>
      </c>
      <c r="E55" s="2"/>
      <c r="F55" s="8">
        <f t="shared" si="38"/>
        <v>9.9635581163762883E-4</v>
      </c>
      <c r="G55" s="2"/>
      <c r="H55" s="7">
        <v>5225.0200000000004</v>
      </c>
      <c r="I55" s="2"/>
      <c r="J55" s="8">
        <f t="shared" si="39"/>
        <v>0.10994424532980729</v>
      </c>
      <c r="K55" s="2"/>
      <c r="L55" s="7">
        <f t="shared" si="40"/>
        <v>-5169.2800000000007</v>
      </c>
      <c r="M55" s="2"/>
      <c r="N55" s="8">
        <f t="shared" si="41"/>
        <v>-0.98933209825034163</v>
      </c>
      <c r="O55" s="11"/>
      <c r="P55" s="7">
        <v>681.08</v>
      </c>
      <c r="Q55" s="2"/>
      <c r="R55" s="8">
        <f t="shared" si="42"/>
        <v>1.1647237218487622E-2</v>
      </c>
      <c r="S55" s="2"/>
      <c r="T55" s="7">
        <v>11603.12</v>
      </c>
      <c r="U55" s="2"/>
      <c r="V55" s="8">
        <f t="shared" si="43"/>
        <v>0.22155138208979047</v>
      </c>
      <c r="W55" s="2"/>
      <c r="X55" s="7">
        <f t="shared" si="44"/>
        <v>-10922.04</v>
      </c>
      <c r="Y55" s="2"/>
      <c r="Z55" s="8">
        <f t="shared" si="45"/>
        <v>-0.94130199463592557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1675.8</v>
      </c>
      <c r="E56" s="2"/>
      <c r="F56" s="8">
        <f t="shared" si="38"/>
        <v>2.995502456301289E-2</v>
      </c>
      <c r="G56" s="2"/>
      <c r="H56" s="7"/>
      <c r="I56" s="2"/>
      <c r="J56" s="8">
        <f t="shared" si="39"/>
        <v>0</v>
      </c>
      <c r="K56" s="2"/>
      <c r="L56" s="7">
        <f t="shared" si="40"/>
        <v>1675.8</v>
      </c>
      <c r="M56" s="2"/>
      <c r="N56" s="8">
        <f t="shared" si="41"/>
        <v>0</v>
      </c>
      <c r="O56" s="11"/>
      <c r="P56" s="7">
        <v>3396.44</v>
      </c>
      <c r="Q56" s="2"/>
      <c r="R56" s="8">
        <f t="shared" si="42"/>
        <v>5.8082959972925494E-2</v>
      </c>
      <c r="S56" s="2"/>
      <c r="T56" s="7"/>
      <c r="U56" s="2"/>
      <c r="V56" s="8">
        <f t="shared" si="43"/>
        <v>0</v>
      </c>
      <c r="W56" s="2"/>
      <c r="X56" s="7">
        <f t="shared" si="44"/>
        <v>3396.44</v>
      </c>
      <c r="Y56" s="2"/>
      <c r="Z56" s="8">
        <f t="shared" si="45"/>
        <v>0</v>
      </c>
    </row>
    <row r="57" spans="1:26" s="28" customFormat="1" outlineLevel="1" collapsed="1" x14ac:dyDescent="0.3">
      <c r="A57" s="29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SUM(OSRRefD22_7x_0)</f>
        <v>601.89</v>
      </c>
      <c r="E57" s="1"/>
      <c r="F57" s="5">
        <f t="shared" ref="F57:F64" si="46">IF(D$12=0,0,D57/D$12)</f>
        <v>1.0758819509626344E-2</v>
      </c>
      <c r="G57" s="1"/>
      <c r="H57" s="1">
        <f>SUM(OSRRefH22_7x_0)</f>
        <v>4.6500000000000004</v>
      </c>
      <c r="I57" s="1"/>
      <c r="J57" s="5">
        <f t="shared" ref="J57:J64" si="47">IF(H$12=0,0,H57/H$12)</f>
        <v>9.7844743327988009E-5</v>
      </c>
      <c r="K57" s="1"/>
      <c r="L57" s="1">
        <f t="shared" ref="L57:L64" si="48">+D57-H57</f>
        <v>597.24</v>
      </c>
      <c r="M57" s="1"/>
      <c r="N57" s="5">
        <f t="shared" ref="N57:N64" si="49">IF(H57=0,0,L57/H57)</f>
        <v>128.43870967741935</v>
      </c>
      <c r="O57" s="14"/>
      <c r="P57" s="1">
        <f>SUM(OSRRefP22_7x_0)</f>
        <v>607.95000000000005</v>
      </c>
      <c r="Q57" s="1"/>
      <c r="R57" s="5">
        <f t="shared" ref="R57:R64" si="50">IF(P$12=0,0,P57/P$12)</f>
        <v>1.0396631624742393E-2</v>
      </c>
      <c r="S57" s="1"/>
      <c r="T57" s="1">
        <f>SUM(OSRRefT22_7x_0)</f>
        <v>5322.2</v>
      </c>
      <c r="U57" s="1"/>
      <c r="V57" s="5">
        <f t="shared" ref="V57:V64" si="51">IF(T$12=0,0,T57/T$12)</f>
        <v>0.10162273300269951</v>
      </c>
      <c r="W57" s="1"/>
      <c r="X57" s="1">
        <f t="shared" ref="X57:X64" si="52">+P57-T57</f>
        <v>-4714.25</v>
      </c>
      <c r="Y57" s="1"/>
      <c r="Z57" s="5">
        <f t="shared" ref="Z57:Z64" si="53">IF(T57=0,0,X57/T57)</f>
        <v>-0.88577092179925598</v>
      </c>
    </row>
    <row r="58" spans="1:26" s="24" customFormat="1" hidden="1" outlineLevel="2" x14ac:dyDescent="0.3">
      <c r="A58" s="27"/>
      <c r="B58" s="11" t="str">
        <f>CONCATENATE("          ", "6259", " - ", "ROYALTY &amp; COMMISSIONS")</f>
        <v xml:space="preserve">          6259 - ROYALTY &amp; COMMISSIONS</v>
      </c>
      <c r="C58" s="11"/>
      <c r="D58" s="7">
        <v>601.89</v>
      </c>
      <c r="E58" s="2"/>
      <c r="F58" s="8">
        <f t="shared" si="46"/>
        <v>1.0758819509626344E-2</v>
      </c>
      <c r="G58" s="2"/>
      <c r="H58" s="7">
        <v>4.6500000000000004</v>
      </c>
      <c r="I58" s="2"/>
      <c r="J58" s="8">
        <f t="shared" si="47"/>
        <v>9.7844743327988009E-5</v>
      </c>
      <c r="K58" s="2"/>
      <c r="L58" s="7">
        <f t="shared" si="48"/>
        <v>597.24</v>
      </c>
      <c r="M58" s="2"/>
      <c r="N58" s="8">
        <f t="shared" si="49"/>
        <v>128.43870967741935</v>
      </c>
      <c r="O58" s="11"/>
      <c r="P58" s="7">
        <v>607.95000000000005</v>
      </c>
      <c r="Q58" s="2"/>
      <c r="R58" s="8">
        <f t="shared" si="50"/>
        <v>1.0396631624742393E-2</v>
      </c>
      <c r="S58" s="2"/>
      <c r="T58" s="7">
        <v>5322.2</v>
      </c>
      <c r="U58" s="2"/>
      <c r="V58" s="8">
        <f t="shared" si="51"/>
        <v>0.10162273300269951</v>
      </c>
      <c r="W58" s="2"/>
      <c r="X58" s="7">
        <f t="shared" si="52"/>
        <v>-4714.25</v>
      </c>
      <c r="Y58" s="2"/>
      <c r="Z58" s="8">
        <f t="shared" si="53"/>
        <v>-0.88577092179925598</v>
      </c>
    </row>
    <row r="59" spans="1:26" s="28" customFormat="1" outlineLevel="1" collapsed="1" x14ac:dyDescent="0.3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SUM(OSRRefD22_8x_0)</f>
        <v>7042.86</v>
      </c>
      <c r="E59" s="1"/>
      <c r="F59" s="5">
        <f t="shared" si="46"/>
        <v>0.12589154093200916</v>
      </c>
      <c r="G59" s="1"/>
      <c r="H59" s="1">
        <f>SUM(OSRRefH22_8x_0)</f>
        <v>4783.22</v>
      </c>
      <c r="I59" s="1"/>
      <c r="J59" s="5">
        <f t="shared" si="47"/>
        <v>0.10064794261963415</v>
      </c>
      <c r="K59" s="1"/>
      <c r="L59" s="1">
        <f t="shared" si="48"/>
        <v>2259.6399999999994</v>
      </c>
      <c r="M59" s="1"/>
      <c r="N59" s="5">
        <f t="shared" si="49"/>
        <v>0.47240979925656762</v>
      </c>
      <c r="O59" s="14"/>
      <c r="P59" s="1">
        <f>SUM(OSRRefP22_8x_0)</f>
        <v>10159.65</v>
      </c>
      <c r="Q59" s="1"/>
      <c r="R59" s="5">
        <f t="shared" si="50"/>
        <v>0.17374148940918505</v>
      </c>
      <c r="S59" s="1"/>
      <c r="T59" s="1">
        <f>SUM(OSRRefT22_8x_0)</f>
        <v>8931.02</v>
      </c>
      <c r="U59" s="1"/>
      <c r="V59" s="5">
        <f t="shared" si="51"/>
        <v>0.17052998025285962</v>
      </c>
      <c r="W59" s="1"/>
      <c r="X59" s="1">
        <f t="shared" si="52"/>
        <v>1228.6299999999992</v>
      </c>
      <c r="Y59" s="1"/>
      <c r="Z59" s="5">
        <f t="shared" si="53"/>
        <v>0.1375688331232042</v>
      </c>
    </row>
    <row r="60" spans="1:26" s="24" customFormat="1" hidden="1" outlineLevel="2" x14ac:dyDescent="0.3">
      <c r="A60" s="27"/>
      <c r="B60" s="11" t="str">
        <f>CONCATENATE("          ", "6235", " - ", "COVID-19 EXPENSES")</f>
        <v xml:space="preserve">          6235 - COVID-19 EXPENSES</v>
      </c>
      <c r="C60" s="11"/>
      <c r="D60" s="7"/>
      <c r="E60" s="2"/>
      <c r="F60" s="8">
        <f t="shared" si="46"/>
        <v>0</v>
      </c>
      <c r="G60" s="2"/>
      <c r="H60" s="7"/>
      <c r="I60" s="2"/>
      <c r="J60" s="8">
        <f t="shared" si="47"/>
        <v>0</v>
      </c>
      <c r="K60" s="2"/>
      <c r="L60" s="7">
        <f t="shared" si="48"/>
        <v>0</v>
      </c>
      <c r="M60" s="2"/>
      <c r="N60" s="8">
        <f t="shared" si="49"/>
        <v>0</v>
      </c>
      <c r="O60" s="11"/>
      <c r="P60" s="7"/>
      <c r="Q60" s="2"/>
      <c r="R60" s="8">
        <f t="shared" si="50"/>
        <v>0</v>
      </c>
      <c r="S60" s="2"/>
      <c r="T60" s="7">
        <v>310.91000000000003</v>
      </c>
      <c r="U60" s="2"/>
      <c r="V60" s="8">
        <f t="shared" si="51"/>
        <v>5.9365532895925199E-3</v>
      </c>
      <c r="W60" s="2"/>
      <c r="X60" s="7">
        <f t="shared" si="52"/>
        <v>-310.91000000000003</v>
      </c>
      <c r="Y60" s="2"/>
      <c r="Z60" s="8">
        <f t="shared" si="53"/>
        <v>-1</v>
      </c>
    </row>
    <row r="61" spans="1:26" s="24" customFormat="1" hidden="1" outlineLevel="2" x14ac:dyDescent="0.3">
      <c r="A61" s="27"/>
      <c r="B61" s="11" t="str">
        <f>CONCATENATE("          ", "6241", " - ", "OFFICE EXPENSE")</f>
        <v xml:space="preserve">          6241 - OFFICE EXPENSE</v>
      </c>
      <c r="C61" s="11"/>
      <c r="D61" s="7">
        <v>4675.71</v>
      </c>
      <c r="E61" s="2"/>
      <c r="F61" s="8">
        <f t="shared" si="46"/>
        <v>8.3578594044351945E-2</v>
      </c>
      <c r="G61" s="2"/>
      <c r="H61" s="7"/>
      <c r="I61" s="2"/>
      <c r="J61" s="8">
        <f t="shared" si="47"/>
        <v>0</v>
      </c>
      <c r="K61" s="2"/>
      <c r="L61" s="7">
        <f t="shared" si="48"/>
        <v>4675.71</v>
      </c>
      <c r="M61" s="2"/>
      <c r="N61" s="8">
        <f t="shared" si="49"/>
        <v>0</v>
      </c>
      <c r="O61" s="11"/>
      <c r="P61" s="7">
        <v>4829.5600000000004</v>
      </c>
      <c r="Q61" s="2"/>
      <c r="R61" s="8">
        <f t="shared" si="50"/>
        <v>8.2590930552826514E-2</v>
      </c>
      <c r="S61" s="2"/>
      <c r="T61" s="7"/>
      <c r="U61" s="2"/>
      <c r="V61" s="8">
        <f t="shared" si="51"/>
        <v>0</v>
      </c>
      <c r="W61" s="2"/>
      <c r="X61" s="7">
        <f t="shared" si="52"/>
        <v>4829.5600000000004</v>
      </c>
      <c r="Y61" s="2"/>
      <c r="Z61" s="8">
        <f t="shared" si="53"/>
        <v>0</v>
      </c>
    </row>
    <row r="62" spans="1:26" s="24" customFormat="1" hidden="1" outlineLevel="2" x14ac:dyDescent="0.3">
      <c r="A62" s="27"/>
      <c r="B62" s="11" t="str">
        <f>CONCATENATE("          ", "6243", " - ", "PAPER SUPPLIES")</f>
        <v xml:space="preserve">          6243 - PAPER SUPPLIES</v>
      </c>
      <c r="C62" s="11"/>
      <c r="D62" s="7">
        <v>1801.68</v>
      </c>
      <c r="E62" s="2"/>
      <c r="F62" s="8">
        <f t="shared" si="46"/>
        <v>3.220513704182424E-2</v>
      </c>
      <c r="G62" s="2"/>
      <c r="H62" s="7">
        <v>2044.69</v>
      </c>
      <c r="I62" s="2"/>
      <c r="J62" s="8">
        <f t="shared" si="47"/>
        <v>4.3024122201140602E-2</v>
      </c>
      <c r="K62" s="2"/>
      <c r="L62" s="7">
        <f t="shared" si="48"/>
        <v>-243.01</v>
      </c>
      <c r="M62" s="2"/>
      <c r="N62" s="8">
        <f t="shared" si="49"/>
        <v>-0.11884931212066376</v>
      </c>
      <c r="O62" s="11"/>
      <c r="P62" s="7">
        <v>3450.92</v>
      </c>
      <c r="Q62" s="2"/>
      <c r="R62" s="8">
        <f t="shared" si="50"/>
        <v>5.9014629503176284E-2</v>
      </c>
      <c r="S62" s="2"/>
      <c r="T62" s="7">
        <v>3124.69</v>
      </c>
      <c r="U62" s="2"/>
      <c r="V62" s="8">
        <f t="shared" si="51"/>
        <v>5.9663210248807851E-2</v>
      </c>
      <c r="W62" s="2"/>
      <c r="X62" s="7">
        <f t="shared" si="52"/>
        <v>326.23</v>
      </c>
      <c r="Y62" s="2"/>
      <c r="Z62" s="8">
        <f t="shared" si="53"/>
        <v>0.10440395687252176</v>
      </c>
    </row>
    <row r="63" spans="1:26" s="24" customFormat="1" hidden="1" outlineLevel="2" x14ac:dyDescent="0.3">
      <c r="A63" s="27"/>
      <c r="B63" s="11" t="str">
        <f>CONCATENATE("          ", "6245", " - ", "PRINTING")</f>
        <v xml:space="preserve">          6245 - PRINTING</v>
      </c>
      <c r="C63" s="11"/>
      <c r="D63" s="7">
        <v>-1187.1400000000001</v>
      </c>
      <c r="E63" s="2"/>
      <c r="F63" s="8">
        <f t="shared" si="46"/>
        <v>-2.1220198030633203E-2</v>
      </c>
      <c r="G63" s="2"/>
      <c r="H63" s="7">
        <v>1248</v>
      </c>
      <c r="I63" s="2"/>
      <c r="J63" s="8">
        <f t="shared" si="47"/>
        <v>2.6260266596414845E-2</v>
      </c>
      <c r="K63" s="2"/>
      <c r="L63" s="7">
        <f t="shared" si="48"/>
        <v>-2435.1400000000003</v>
      </c>
      <c r="M63" s="2"/>
      <c r="N63" s="8">
        <f t="shared" si="49"/>
        <v>-1.9512339743589746</v>
      </c>
      <c r="O63" s="11"/>
      <c r="P63" s="7">
        <v>-935.5</v>
      </c>
      <c r="Q63" s="2"/>
      <c r="R63" s="8">
        <f t="shared" si="50"/>
        <v>-1.5998106562951739E-2</v>
      </c>
      <c r="S63" s="2"/>
      <c r="T63" s="7">
        <v>-295.5</v>
      </c>
      <c r="U63" s="2"/>
      <c r="V63" s="8">
        <f t="shared" si="51"/>
        <v>-5.6423128785648242E-3</v>
      </c>
      <c r="W63" s="2"/>
      <c r="X63" s="7">
        <f t="shared" si="52"/>
        <v>-640</v>
      </c>
      <c r="Y63" s="2"/>
      <c r="Z63" s="8">
        <f t="shared" si="53"/>
        <v>2.1658206429780034</v>
      </c>
    </row>
    <row r="64" spans="1:26" s="24" customFormat="1" hidden="1" outlineLevel="2" x14ac:dyDescent="0.3">
      <c r="A64" s="27"/>
      <c r="B64" s="11" t="str">
        <f>CONCATENATE("          ", "6247", " - ", "STORE SUPPLIES")</f>
        <v xml:space="preserve">          6247 - STORE SUPPLIES</v>
      </c>
      <c r="C64" s="11"/>
      <c r="D64" s="7">
        <v>1752.61</v>
      </c>
      <c r="E64" s="2"/>
      <c r="F64" s="8">
        <f t="shared" si="46"/>
        <v>3.1328007876466175E-2</v>
      </c>
      <c r="G64" s="2"/>
      <c r="H64" s="7">
        <v>1490.53</v>
      </c>
      <c r="I64" s="2"/>
      <c r="J64" s="8">
        <f t="shared" si="47"/>
        <v>3.1363553822078699E-2</v>
      </c>
      <c r="K64" s="2"/>
      <c r="L64" s="7">
        <f t="shared" si="48"/>
        <v>262.07999999999993</v>
      </c>
      <c r="M64" s="2"/>
      <c r="N64" s="8">
        <f t="shared" si="49"/>
        <v>0.17583007386634281</v>
      </c>
      <c r="O64" s="11"/>
      <c r="P64" s="7">
        <v>2814.67</v>
      </c>
      <c r="Q64" s="2"/>
      <c r="R64" s="8">
        <f t="shared" si="50"/>
        <v>4.8134035916134014E-2</v>
      </c>
      <c r="S64" s="2"/>
      <c r="T64" s="7">
        <v>5790.92</v>
      </c>
      <c r="U64" s="2"/>
      <c r="V64" s="8">
        <f t="shared" si="51"/>
        <v>0.11057252959302406</v>
      </c>
      <c r="W64" s="2"/>
      <c r="X64" s="7">
        <f t="shared" si="52"/>
        <v>-2976.25</v>
      </c>
      <c r="Y64" s="2"/>
      <c r="Z64" s="8">
        <f t="shared" si="53"/>
        <v>-0.51395115111243117</v>
      </c>
    </row>
    <row r="65" spans="1:26" s="28" customFormat="1" outlineLevel="1" collapsed="1" x14ac:dyDescent="0.3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SUM(OSRRefD22_9x_0)</f>
        <v>159.5</v>
      </c>
      <c r="E65" s="1"/>
      <c r="F65" s="5">
        <f t="shared" ref="F65:F68" si="54">IF(D$12=0,0,D65/D$12)</f>
        <v>2.8510719762504808E-3</v>
      </c>
      <c r="G65" s="1"/>
      <c r="H65" s="1">
        <f>SUM(OSRRefH22_9x_0)</f>
        <v>200.75</v>
      </c>
      <c r="I65" s="1"/>
      <c r="J65" s="5">
        <f t="shared" ref="J65:J68" si="55">IF(H$12=0,0,H65/H$12)</f>
        <v>4.2241574673319553E-3</v>
      </c>
      <c r="K65" s="1"/>
      <c r="L65" s="1">
        <f t="shared" ref="L65:L68" si="56">+D65-H65</f>
        <v>-41.25</v>
      </c>
      <c r="M65" s="1"/>
      <c r="N65" s="5">
        <f t="shared" ref="N65:N68" si="57">IF(H65=0,0,L65/H65)</f>
        <v>-0.20547945205479451</v>
      </c>
      <c r="O65" s="14"/>
      <c r="P65" s="1">
        <f>SUM(OSRRefP22_9x_0)</f>
        <v>327.3</v>
      </c>
      <c r="Q65" s="1"/>
      <c r="R65" s="5">
        <f t="shared" ref="R65:R68" si="58">IF(P$12=0,0,P65/P$12)</f>
        <v>5.597199655856872E-3</v>
      </c>
      <c r="S65" s="1"/>
      <c r="T65" s="1">
        <f>SUM(OSRRefT22_9x_0)</f>
        <v>400.75</v>
      </c>
      <c r="U65" s="1"/>
      <c r="V65" s="5">
        <f t="shared" ref="V65:V68" si="59">IF(T$12=0,0,T65/T$12)</f>
        <v>7.6519691576475571E-3</v>
      </c>
      <c r="W65" s="1"/>
      <c r="X65" s="1">
        <f t="shared" ref="X65:X68" si="60">+P65-T65</f>
        <v>-73.449999999999989</v>
      </c>
      <c r="Y65" s="1"/>
      <c r="Z65" s="5">
        <f t="shared" ref="Z65:Z68" si="61">IF(T65=0,0,X65/T65)</f>
        <v>-0.18328134747348718</v>
      </c>
    </row>
    <row r="66" spans="1:26" s="24" customFormat="1" hidden="1" outlineLevel="2" x14ac:dyDescent="0.3">
      <c r="A66" s="27"/>
      <c r="B66" s="11" t="str">
        <f>CONCATENATE("          ", "6309", " - ", "TELEPHONE")</f>
        <v xml:space="preserve">          6309 - TELEPHONE</v>
      </c>
      <c r="C66" s="11"/>
      <c r="D66" s="7">
        <v>159.5</v>
      </c>
      <c r="E66" s="2"/>
      <c r="F66" s="8">
        <f t="shared" si="54"/>
        <v>2.8510719762504808E-3</v>
      </c>
      <c r="G66" s="2"/>
      <c r="H66" s="7">
        <v>200.75</v>
      </c>
      <c r="I66" s="2"/>
      <c r="J66" s="8">
        <f t="shared" si="55"/>
        <v>4.2241574673319553E-3</v>
      </c>
      <c r="K66" s="2"/>
      <c r="L66" s="7">
        <f t="shared" si="56"/>
        <v>-41.25</v>
      </c>
      <c r="M66" s="2"/>
      <c r="N66" s="8">
        <f t="shared" si="57"/>
        <v>-0.20547945205479451</v>
      </c>
      <c r="O66" s="11"/>
      <c r="P66" s="7">
        <v>327.3</v>
      </c>
      <c r="Q66" s="2"/>
      <c r="R66" s="8">
        <f t="shared" si="58"/>
        <v>5.597199655856872E-3</v>
      </c>
      <c r="S66" s="2"/>
      <c r="T66" s="7">
        <v>400.75</v>
      </c>
      <c r="U66" s="2"/>
      <c r="V66" s="8">
        <f t="shared" si="59"/>
        <v>7.6519691576475571E-3</v>
      </c>
      <c r="W66" s="2"/>
      <c r="X66" s="7">
        <f t="shared" si="60"/>
        <v>-73.449999999999989</v>
      </c>
      <c r="Y66" s="2"/>
      <c r="Z66" s="8">
        <f t="shared" si="61"/>
        <v>-0.18328134747348718</v>
      </c>
    </row>
    <row r="67" spans="1:26" s="28" customFormat="1" outlineLevel="1" collapsed="1" x14ac:dyDescent="0.3">
      <c r="A67" s="29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SUM(OSRRefD22_10x_0)</f>
        <v>0</v>
      </c>
      <c r="E67" s="1"/>
      <c r="F67" s="5">
        <f t="shared" si="54"/>
        <v>0</v>
      </c>
      <c r="G67" s="1"/>
      <c r="H67" s="1">
        <f>SUM(OSRRefH22_10x_0)</f>
        <v>15.02</v>
      </c>
      <c r="I67" s="1"/>
      <c r="J67" s="5">
        <f t="shared" si="55"/>
        <v>3.1604904188954402E-4</v>
      </c>
      <c r="K67" s="1"/>
      <c r="L67" s="1">
        <f t="shared" si="56"/>
        <v>-15.02</v>
      </c>
      <c r="M67" s="1"/>
      <c r="N67" s="5">
        <f t="shared" si="57"/>
        <v>-1</v>
      </c>
      <c r="O67" s="14"/>
      <c r="P67" s="1">
        <f>SUM(OSRRefP22_10x_0)</f>
        <v>0</v>
      </c>
      <c r="Q67" s="1"/>
      <c r="R67" s="5">
        <f t="shared" si="58"/>
        <v>0</v>
      </c>
      <c r="S67" s="1"/>
      <c r="T67" s="1">
        <f>SUM(OSRRefT22_10x_0)</f>
        <v>15.02</v>
      </c>
      <c r="U67" s="1"/>
      <c r="V67" s="5">
        <f t="shared" si="59"/>
        <v>2.8679370367527466E-4</v>
      </c>
      <c r="W67" s="1"/>
      <c r="X67" s="1">
        <f t="shared" si="60"/>
        <v>-15.02</v>
      </c>
      <c r="Y67" s="1"/>
      <c r="Z67" s="5">
        <f t="shared" si="61"/>
        <v>-1</v>
      </c>
    </row>
    <row r="68" spans="1:26" s="24" customFormat="1" hidden="1" outlineLevel="2" x14ac:dyDescent="0.3">
      <c r="A68" s="27"/>
      <c r="B68" s="11" t="str">
        <f>CONCATENATE("          ", "6274", " - ", "UTILITIES")</f>
        <v xml:space="preserve">          6274 - UTILITIES</v>
      </c>
      <c r="C68" s="11"/>
      <c r="D68" s="7"/>
      <c r="E68" s="2"/>
      <c r="F68" s="8">
        <f t="shared" si="54"/>
        <v>0</v>
      </c>
      <c r="G68" s="2"/>
      <c r="H68" s="7">
        <v>15.02</v>
      </c>
      <c r="I68" s="2"/>
      <c r="J68" s="8">
        <f t="shared" si="55"/>
        <v>3.1604904188954402E-4</v>
      </c>
      <c r="K68" s="2"/>
      <c r="L68" s="7">
        <f t="shared" si="56"/>
        <v>-15.02</v>
      </c>
      <c r="M68" s="2"/>
      <c r="N68" s="8">
        <f t="shared" si="57"/>
        <v>-1</v>
      </c>
      <c r="O68" s="11"/>
      <c r="P68" s="7"/>
      <c r="Q68" s="2"/>
      <c r="R68" s="8">
        <f t="shared" si="58"/>
        <v>0</v>
      </c>
      <c r="S68" s="2"/>
      <c r="T68" s="7">
        <v>15.02</v>
      </c>
      <c r="U68" s="2"/>
      <c r="V68" s="8">
        <f t="shared" si="59"/>
        <v>2.8679370367527466E-4</v>
      </c>
      <c r="W68" s="2"/>
      <c r="X68" s="7">
        <f t="shared" si="60"/>
        <v>-15.02</v>
      </c>
      <c r="Y68" s="2"/>
      <c r="Z68" s="8">
        <f t="shared" si="61"/>
        <v>-1</v>
      </c>
    </row>
    <row r="69" spans="1:26" s="61" customFormat="1" x14ac:dyDescent="0.3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3">
      <c r="A70" s="10"/>
      <c r="B70" s="26" t="s">
        <v>292</v>
      </c>
      <c r="C70" s="10"/>
      <c r="D70" s="4">
        <f>SUM(OSRRefD25x_0)</f>
        <v>0</v>
      </c>
      <c r="E70" s="4"/>
      <c r="F70" s="12">
        <f t="shared" ref="F70:F72" si="62">IF(D$12=0,0,D70/D$12)</f>
        <v>0</v>
      </c>
      <c r="G70" s="4"/>
      <c r="H70" s="4">
        <f>SUM(OSRRefH25x_0)</f>
        <v>6782</v>
      </c>
      <c r="I70" s="4"/>
      <c r="J70" s="12">
        <f t="shared" ref="J70:J72" si="63">IF(H$12=0,0,H70/H$12)</f>
        <v>0.14270603209686336</v>
      </c>
      <c r="K70" s="4"/>
      <c r="L70" s="4">
        <f t="shared" ref="L70:L72" si="64">+D70-H70</f>
        <v>-6782</v>
      </c>
      <c r="M70" s="4"/>
      <c r="N70" s="12">
        <f t="shared" ref="N70:N72" si="65">IF(H70=0,0,L70/H70)</f>
        <v>-1</v>
      </c>
      <c r="O70" s="10"/>
      <c r="P70" s="4">
        <f>SUM(OSRRefP25x_0)</f>
        <v>0</v>
      </c>
      <c r="Q70" s="4"/>
      <c r="R70" s="12">
        <f t="shared" ref="R70:R72" si="66">IF(P$12=0,0,P70/P$12)</f>
        <v>0</v>
      </c>
      <c r="S70" s="4"/>
      <c r="T70" s="4">
        <f>SUM(OSRRefT25x_0)</f>
        <v>13564</v>
      </c>
      <c r="U70" s="4"/>
      <c r="V70" s="12">
        <f t="shared" ref="V70:V72" si="67">IF(T$12=0,0,T70/T$12)</f>
        <v>0.25899266289290446</v>
      </c>
      <c r="W70" s="4"/>
      <c r="X70" s="4">
        <f t="shared" ref="X70:X72" si="68">+P70-T70</f>
        <v>-13564</v>
      </c>
      <c r="Y70" s="4"/>
      <c r="Z70" s="12">
        <f t="shared" ref="Z70:Z72" si="69">IF(T70=0,0,X70/T70)</f>
        <v>-1</v>
      </c>
    </row>
    <row r="71" spans="1:26" s="24" customFormat="1" hidden="1" outlineLevel="1" x14ac:dyDescent="0.3">
      <c r="A71" s="44"/>
      <c r="B71" s="11" t="str">
        <f>CONCATENATE("          ", "9150", " - ", "MISC. INCOME")</f>
        <v xml:space="preserve">          9150 - MISC. INCOME</v>
      </c>
      <c r="C71" s="11"/>
      <c r="D71" s="2">
        <f t="shared" ref="D71:D72" si="70">0</f>
        <v>0</v>
      </c>
      <c r="E71" s="2"/>
      <c r="F71" s="19">
        <f t="shared" si="62"/>
        <v>0</v>
      </c>
      <c r="G71" s="2"/>
      <c r="H71" s="2">
        <f>--6782</f>
        <v>6782</v>
      </c>
      <c r="I71" s="2"/>
      <c r="J71" s="19">
        <f t="shared" si="63"/>
        <v>0.14270603209686336</v>
      </c>
      <c r="K71" s="2"/>
      <c r="L71" s="2">
        <f t="shared" si="64"/>
        <v>-6782</v>
      </c>
      <c r="M71" s="2"/>
      <c r="N71" s="19">
        <f t="shared" si="65"/>
        <v>-1</v>
      </c>
      <c r="O71" s="11"/>
      <c r="P71" s="2">
        <f t="shared" ref="P71:P72" si="71">0</f>
        <v>0</v>
      </c>
      <c r="Q71" s="2"/>
      <c r="R71" s="19">
        <f t="shared" si="66"/>
        <v>0</v>
      </c>
      <c r="S71" s="2"/>
      <c r="T71" s="2">
        <f>--13564</f>
        <v>13564</v>
      </c>
      <c r="U71" s="2"/>
      <c r="V71" s="19">
        <f t="shared" si="67"/>
        <v>0.25899266289290446</v>
      </c>
      <c r="W71" s="2"/>
      <c r="X71" s="2">
        <f t="shared" si="68"/>
        <v>-13564</v>
      </c>
      <c r="Y71" s="2"/>
      <c r="Z71" s="19">
        <f t="shared" si="69"/>
        <v>-1</v>
      </c>
    </row>
    <row r="72" spans="1:26" s="24" customFormat="1" hidden="1" outlineLevel="1" x14ac:dyDescent="0.3">
      <c r="A72" s="44"/>
      <c r="B72" s="11" t="str">
        <f>CONCATENATE("          ", "9163", " - ", "MISC. INCOME")</f>
        <v xml:space="preserve">          9163 - MISC. INCOME</v>
      </c>
      <c r="C72" s="11"/>
      <c r="D72" s="2">
        <f t="shared" si="70"/>
        <v>0</v>
      </c>
      <c r="E72" s="2"/>
      <c r="F72" s="19">
        <f t="shared" si="62"/>
        <v>0</v>
      </c>
      <c r="G72" s="2"/>
      <c r="H72" s="2">
        <f>0</f>
        <v>0</v>
      </c>
      <c r="I72" s="2"/>
      <c r="J72" s="19">
        <f t="shared" si="63"/>
        <v>0</v>
      </c>
      <c r="K72" s="2"/>
      <c r="L72" s="2">
        <f t="shared" si="64"/>
        <v>0</v>
      </c>
      <c r="M72" s="2"/>
      <c r="N72" s="19">
        <f t="shared" si="65"/>
        <v>0</v>
      </c>
      <c r="O72" s="11"/>
      <c r="P72" s="2">
        <f t="shared" si="71"/>
        <v>0</v>
      </c>
      <c r="Q72" s="2"/>
      <c r="R72" s="19">
        <f t="shared" si="66"/>
        <v>0</v>
      </c>
      <c r="S72" s="2"/>
      <c r="T72" s="2">
        <f>0</f>
        <v>0</v>
      </c>
      <c r="U72" s="2"/>
      <c r="V72" s="19">
        <f t="shared" si="67"/>
        <v>0</v>
      </c>
      <c r="W72" s="2"/>
      <c r="X72" s="2">
        <f t="shared" si="68"/>
        <v>0</v>
      </c>
      <c r="Y72" s="2"/>
      <c r="Z72" s="19">
        <f t="shared" si="69"/>
        <v>0</v>
      </c>
    </row>
    <row r="73" spans="1:26" x14ac:dyDescent="0.3">
      <c r="A73" s="9"/>
      <c r="B73" s="10"/>
      <c r="C73" s="10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O73" s="10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s="23" customFormat="1" x14ac:dyDescent="0.3">
      <c r="A74" s="10"/>
      <c r="B74" s="25" t="s">
        <v>276</v>
      </c>
      <c r="C74" s="25"/>
      <c r="D74" s="20">
        <f>+D29-D31+D70</f>
        <v>38105.460000000006</v>
      </c>
      <c r="E74" s="13"/>
      <c r="F74" s="22">
        <f>IF(D$12=0,0,D74/D$12)</f>
        <v>0.68113736143030512</v>
      </c>
      <c r="G74" s="13"/>
      <c r="H74" s="20">
        <f>+H29-H31+H70</f>
        <v>104716.88</v>
      </c>
      <c r="I74" s="13"/>
      <c r="J74" s="22">
        <f>IF(H$12=0,0,H74/H$12)</f>
        <v>2.2034400528403699</v>
      </c>
      <c r="K74" s="15"/>
      <c r="L74" s="20">
        <f>+D74-H74</f>
        <v>-66611.42</v>
      </c>
      <c r="M74" s="15"/>
      <c r="N74" s="22">
        <f>IF(H74=0,0,L74/H74)</f>
        <v>-0.6361096701887986</v>
      </c>
      <c r="O74" s="26"/>
      <c r="P74" s="20">
        <f>+P29-P31+P70</f>
        <v>2978.3799999999974</v>
      </c>
      <c r="Q74" s="13"/>
      <c r="R74" s="22">
        <f>IF(P$12=0,0,P74/P$12)</f>
        <v>5.0933661811826993E-2</v>
      </c>
      <c r="S74" s="13"/>
      <c r="T74" s="20">
        <f>+T29-T31+T70</f>
        <v>67192.799999999988</v>
      </c>
      <c r="U74" s="13"/>
      <c r="V74" s="22">
        <f>IF(T$12=0,0,T74/T$12)</f>
        <v>1.2829874815121165</v>
      </c>
      <c r="W74" s="15"/>
      <c r="X74" s="20">
        <f>+P74-T74</f>
        <v>-64214.419999999991</v>
      </c>
      <c r="Y74" s="15"/>
      <c r="Z74" s="22">
        <f>IF(T74=0,0,X74/T74)</f>
        <v>-0.95567411984617401</v>
      </c>
    </row>
    <row r="75" spans="1:26" x14ac:dyDescent="0.3">
      <c r="A75" s="9"/>
      <c r="B75" s="10"/>
      <c r="C75" s="9"/>
      <c r="D75" s="3"/>
      <c r="E75" s="3"/>
      <c r="F75" s="6"/>
      <c r="G75" s="3"/>
      <c r="H75" s="3"/>
      <c r="I75" s="3"/>
      <c r="J75" s="6"/>
      <c r="K75" s="3"/>
      <c r="L75" s="3"/>
      <c r="M75" s="3"/>
      <c r="N75" s="6"/>
      <c r="P75" s="3"/>
      <c r="Q75" s="3"/>
      <c r="R75" s="6"/>
      <c r="S75" s="3"/>
      <c r="T75" s="3"/>
      <c r="U75" s="3"/>
      <c r="V75" s="6"/>
      <c r="W75" s="3"/>
      <c r="X75" s="3"/>
      <c r="Y75" s="3"/>
      <c r="Z75" s="6"/>
    </row>
    <row r="76" spans="1:26" s="23" customFormat="1" x14ac:dyDescent="0.3">
      <c r="A76" s="51"/>
      <c r="B76" s="10" t="s">
        <v>127</v>
      </c>
      <c r="C76" s="10"/>
      <c r="D76" s="4">
        <v>7568.52</v>
      </c>
      <c r="E76" s="4"/>
      <c r="F76" s="12">
        <f>IF(D$12=0,0,D76/D$12)</f>
        <v>0.13528774466264132</v>
      </c>
      <c r="G76" s="4"/>
      <c r="H76" s="4">
        <v>6510.77</v>
      </c>
      <c r="I76" s="4"/>
      <c r="J76" s="12">
        <f>IF(H$12=0,0,H76/H$12)</f>
        <v>0.13699884290700312</v>
      </c>
      <c r="K76" s="4"/>
      <c r="L76" s="4">
        <f>+D76-H76</f>
        <v>1057.75</v>
      </c>
      <c r="M76" s="4"/>
      <c r="N76" s="12">
        <f>IF(H76=0,0,L76/H76)</f>
        <v>0.16246158288497364</v>
      </c>
      <c r="O76" s="10"/>
      <c r="P76" s="4">
        <v>8738.2000000000007</v>
      </c>
      <c r="Q76" s="4"/>
      <c r="R76" s="12">
        <f>IF(P$12=0,0,P76/P$12)</f>
        <v>0.14943308900949748</v>
      </c>
      <c r="S76" s="4"/>
      <c r="T76" s="4">
        <v>8842.34</v>
      </c>
      <c r="U76" s="4"/>
      <c r="V76" s="12">
        <f>IF(T$12=0,0,T76/T$12)</f>
        <v>0.16883671356564767</v>
      </c>
      <c r="W76" s="4"/>
      <c r="X76" s="4">
        <f>+P76-T76</f>
        <v>-104.13999999999942</v>
      </c>
      <c r="Y76" s="4"/>
      <c r="Z76" s="12">
        <f>IF(T76=0,0,X76/T76)</f>
        <v>-1.1777425432634282E-2</v>
      </c>
    </row>
    <row r="77" spans="1:26" x14ac:dyDescent="0.3">
      <c r="A77" s="9"/>
      <c r="B77" s="10"/>
      <c r="C77" s="10"/>
      <c r="D77" s="3"/>
      <c r="E77" s="3"/>
      <c r="F77" s="6"/>
      <c r="G77" s="3"/>
      <c r="H77" s="3"/>
      <c r="I77" s="3"/>
      <c r="J77" s="6"/>
      <c r="K77" s="3"/>
      <c r="L77" s="3"/>
      <c r="M77" s="3"/>
      <c r="N77" s="6"/>
      <c r="O77" s="10"/>
      <c r="P77" s="3"/>
      <c r="Q77" s="3"/>
      <c r="R77" s="6"/>
      <c r="S77" s="3"/>
      <c r="T77" s="3"/>
      <c r="U77" s="3"/>
      <c r="V77" s="6"/>
      <c r="W77" s="3"/>
      <c r="X77" s="3"/>
      <c r="Y77" s="3"/>
      <c r="Z77" s="6"/>
    </row>
    <row r="78" spans="1:26" s="23" customFormat="1" ht="15" thickBot="1" x14ac:dyDescent="0.35">
      <c r="A78" s="10"/>
      <c r="B78" s="25" t="s">
        <v>125</v>
      </c>
      <c r="C78" s="25"/>
      <c r="D78" s="33">
        <f>+D74-D76</f>
        <v>30536.940000000006</v>
      </c>
      <c r="E78" s="13"/>
      <c r="F78" s="36">
        <f>IF(D$12=0,0,D78/D$12)</f>
        <v>0.54584961676766386</v>
      </c>
      <c r="G78" s="13"/>
      <c r="H78" s="33">
        <f>+H74-H76</f>
        <v>98206.11</v>
      </c>
      <c r="I78" s="13"/>
      <c r="J78" s="36">
        <f>IF(H$12=0,0,H78/H$12)</f>
        <v>2.0664412099333669</v>
      </c>
      <c r="K78" s="15"/>
      <c r="L78" s="33">
        <f>D78-H78</f>
        <v>-67669.17</v>
      </c>
      <c r="M78" s="15"/>
      <c r="N78" s="36">
        <f>IF(H78=0,0,L78/H78)</f>
        <v>-0.68905254469401134</v>
      </c>
      <c r="O78" s="26"/>
      <c r="P78" s="33">
        <f>+P74-P76</f>
        <v>-5759.8200000000033</v>
      </c>
      <c r="Q78" s="13"/>
      <c r="R78" s="36">
        <f>IF(P$12=0,0,P78/P$12)</f>
        <v>-9.8499427197670478E-2</v>
      </c>
      <c r="S78" s="13"/>
      <c r="T78" s="33">
        <f>+T74-T76</f>
        <v>58350.459999999992</v>
      </c>
      <c r="U78" s="13"/>
      <c r="V78" s="36">
        <f>IF(T$12=0,0,T78/T$12)</f>
        <v>1.1141507679464691</v>
      </c>
      <c r="W78" s="15"/>
      <c r="X78" s="33">
        <f>P78-T78</f>
        <v>-64110.28</v>
      </c>
      <c r="Y78" s="15"/>
      <c r="Z78" s="36">
        <f>IF(T78=0,0,X78/T78)</f>
        <v>-1.098710789940645</v>
      </c>
    </row>
    <row r="79" spans="1:26" ht="15" thickTop="1" x14ac:dyDescent="0.3">
      <c r="A79" s="9"/>
      <c r="B79" s="9"/>
      <c r="C79" s="9"/>
      <c r="D79" s="3"/>
      <c r="E79" s="3"/>
      <c r="F79" s="6"/>
      <c r="G79" s="3"/>
      <c r="H79" s="3"/>
      <c r="I79" s="3"/>
      <c r="J79" s="6"/>
      <c r="K79" s="3"/>
      <c r="L79" s="3"/>
      <c r="M79" s="3"/>
      <c r="N79" s="6"/>
      <c r="P79" s="3"/>
      <c r="Q79" s="3"/>
      <c r="R79" s="6"/>
      <c r="S79" s="3"/>
      <c r="T79" s="3"/>
      <c r="U79" s="3"/>
      <c r="V79" s="6"/>
      <c r="W79" s="3"/>
      <c r="X79" s="3"/>
      <c r="Y79" s="3"/>
      <c r="Z79" s="6"/>
    </row>
    <row r="80" spans="1:26" x14ac:dyDescent="0.3">
      <c r="A80" s="9"/>
      <c r="B80" s="9"/>
      <c r="C80" s="9"/>
      <c r="D80" s="3"/>
      <c r="E80" s="3"/>
      <c r="F80" s="6"/>
      <c r="G80" s="3"/>
      <c r="H80" s="3"/>
      <c r="I80" s="3"/>
      <c r="J80" s="6"/>
      <c r="K80" s="3"/>
      <c r="L80" s="3"/>
      <c r="M80" s="3"/>
      <c r="N80" s="6"/>
      <c r="P80" s="3"/>
      <c r="Q80" s="3"/>
      <c r="R80" s="6"/>
      <c r="S80" s="3"/>
      <c r="T80" s="3"/>
      <c r="U80" s="3"/>
      <c r="V80" s="6"/>
      <c r="W80" s="3"/>
      <c r="X80" s="3"/>
      <c r="Y80" s="3"/>
      <c r="Z80" s="6"/>
    </row>
    <row r="81" spans="1:26" s="23" customFormat="1" ht="15" thickBot="1" x14ac:dyDescent="0.35">
      <c r="A81" s="10"/>
      <c r="B81" s="25" t="s">
        <v>293</v>
      </c>
      <c r="C81" s="25"/>
      <c r="D81" s="30">
        <f>SUM(D78:D80)</f>
        <v>30536.940000000006</v>
      </c>
      <c r="E81" s="13"/>
      <c r="F81" s="31">
        <f>IF(D$12=0,0,D81/D$12)</f>
        <v>0.54584961676766386</v>
      </c>
      <c r="G81" s="13"/>
      <c r="H81" s="30">
        <f>SUM(H78:H80)</f>
        <v>98206.11</v>
      </c>
      <c r="I81" s="13"/>
      <c r="J81" s="31">
        <f>IF(H$12=0,0,H81/H$12)</f>
        <v>2.0664412099333669</v>
      </c>
      <c r="K81" s="15"/>
      <c r="L81" s="30">
        <f>+D81-H81</f>
        <v>-67669.17</v>
      </c>
      <c r="M81" s="15"/>
      <c r="N81" s="31">
        <f>IF(H81=0,0,L81/H81)</f>
        <v>-0.68905254469401134</v>
      </c>
      <c r="O81" s="26"/>
      <c r="P81" s="30">
        <f>SUM(P78:P80)</f>
        <v>-5759.8200000000033</v>
      </c>
      <c r="Q81" s="13"/>
      <c r="R81" s="31">
        <f>IF(P$12=0,0,P81/P$12)</f>
        <v>-9.8499427197670478E-2</v>
      </c>
      <c r="S81" s="13"/>
      <c r="T81" s="30">
        <f>SUM(T78:T80)</f>
        <v>58350.459999999992</v>
      </c>
      <c r="U81" s="13"/>
      <c r="V81" s="31">
        <f>IF(T$12=0,0,T81/T$12)</f>
        <v>1.1141507679464691</v>
      </c>
      <c r="W81" s="15"/>
      <c r="X81" s="30">
        <f>+P81-T81</f>
        <v>-64110.28</v>
      </c>
      <c r="Y81" s="15"/>
      <c r="Z81" s="31">
        <f>IF(T81=0,0,X81/T81)</f>
        <v>-1.098710789940645</v>
      </c>
    </row>
    <row r="82" spans="1:26" ht="15" thickTop="1" x14ac:dyDescent="0.3">
      <c r="A82" s="9"/>
      <c r="C82" s="9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6" x14ac:dyDescent="0.3">
      <c r="A83" s="9"/>
      <c r="B83" s="59">
        <v>44470.840474305558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3">
      <c r="A84" s="9"/>
      <c r="B84" s="58" t="s">
        <v>56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3">
      <c r="A85" s="9"/>
      <c r="B85" s="52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","316", " - ", "Campus Copy Center")</f>
        <v>Department 316 - Campus Copy Center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55943.87</v>
      </c>
      <c r="E12" s="4"/>
      <c r="F12" s="12"/>
      <c r="G12" s="4"/>
      <c r="H12" s="4">
        <f>SUM(OSRRefH13x_0)</f>
        <v>47524.27</v>
      </c>
      <c r="I12" s="4"/>
      <c r="J12" s="12"/>
      <c r="K12" s="4"/>
      <c r="L12" s="4">
        <f t="shared" ref="L12:L23" si="0">+D12-H12</f>
        <v>8419.6000000000058</v>
      </c>
      <c r="M12" s="4"/>
      <c r="N12" s="12">
        <f t="shared" ref="N12:N23" si="1">IF(H12=0,0,L12/H12)</f>
        <v>0.17716421525254372</v>
      </c>
      <c r="O12" s="10"/>
      <c r="P12" s="4">
        <f>SUM(OSRRefP13x_0)</f>
        <v>58475.67</v>
      </c>
      <c r="Q12" s="4"/>
      <c r="R12" s="12"/>
      <c r="S12" s="4"/>
      <c r="T12" s="4">
        <f>SUM(OSRRefT13x_0)</f>
        <v>52372.140000000007</v>
      </c>
      <c r="U12" s="4"/>
      <c r="V12" s="12"/>
      <c r="W12" s="4"/>
      <c r="X12" s="4">
        <f t="shared" ref="X12:X23" si="2">+P12-T12</f>
        <v>6103.5299999999916</v>
      </c>
      <c r="Y12" s="4"/>
      <c r="Z12" s="12">
        <f t="shared" ref="Z12:Z23" si="3">IF(T12=0,0,X12/T12)</f>
        <v>0.11654154288902441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--52570.47</f>
        <v>52570.47</v>
      </c>
      <c r="E13" s="2"/>
      <c r="F13" s="19"/>
      <c r="G13" s="2"/>
      <c r="H13" s="2">
        <f>-7.3</f>
        <v>-7.3</v>
      </c>
      <c r="I13" s="2"/>
      <c r="J13" s="19"/>
      <c r="K13" s="2"/>
      <c r="L13" s="2">
        <f t="shared" si="0"/>
        <v>52577.770000000004</v>
      </c>
      <c r="M13" s="2"/>
      <c r="N13" s="19">
        <f t="shared" si="1"/>
        <v>-7202.4342465753434</v>
      </c>
      <c r="O13" s="11"/>
      <c r="P13" s="2">
        <f>--54800.62</f>
        <v>54800.62</v>
      </c>
      <c r="Q13" s="2"/>
      <c r="R13" s="19"/>
      <c r="S13" s="2"/>
      <c r="T13" s="2">
        <f>-7.3</f>
        <v>-7.3</v>
      </c>
      <c r="U13" s="2"/>
      <c r="V13" s="19"/>
      <c r="W13" s="2"/>
      <c r="X13" s="2">
        <f t="shared" si="2"/>
        <v>54807.920000000006</v>
      </c>
      <c r="Y13" s="2"/>
      <c r="Z13" s="19">
        <f t="shared" si="3"/>
        <v>-7507.9342465753434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--42350.45</f>
        <v>42350.45</v>
      </c>
      <c r="I14" s="2"/>
      <c r="J14" s="19"/>
      <c r="K14" s="2"/>
      <c r="L14" s="2">
        <f t="shared" si="0"/>
        <v>-42350.45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--43436.05</f>
        <v>43436.05</v>
      </c>
      <c r="U14" s="2"/>
      <c r="V14" s="19"/>
      <c r="W14" s="2"/>
      <c r="X14" s="2">
        <f t="shared" si="2"/>
        <v>-43436.05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--5206.35</f>
        <v>5206.3500000000004</v>
      </c>
      <c r="I15" s="2"/>
      <c r="J15" s="19"/>
      <c r="K15" s="2"/>
      <c r="L15" s="2">
        <f t="shared" si="0"/>
        <v>-5206.3500000000004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--8956.87</f>
        <v>8956.8700000000008</v>
      </c>
      <c r="U15" s="2"/>
      <c r="V15" s="19"/>
      <c r="W15" s="2"/>
      <c r="X15" s="2">
        <f t="shared" si="2"/>
        <v>-8956.8700000000008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>--4.99</f>
        <v>4.99</v>
      </c>
      <c r="I16" s="2"/>
      <c r="J16" s="19"/>
      <c r="K16" s="2"/>
      <c r="L16" s="2">
        <f t="shared" si="0"/>
        <v>-4.99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--4.99</f>
        <v>4.99</v>
      </c>
      <c r="U16" s="2"/>
      <c r="V16" s="19"/>
      <c r="W16" s="2"/>
      <c r="X16" s="2">
        <f t="shared" si="2"/>
        <v>-4.99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--553.4</f>
        <v>553.4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553.4</v>
      </c>
      <c r="M17" s="2"/>
      <c r="N17" s="19">
        <f t="shared" si="1"/>
        <v>0</v>
      </c>
      <c r="O17" s="11"/>
      <c r="P17" s="2">
        <f>--834.85</f>
        <v>834.85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834.85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--389.5</f>
        <v>389.5</v>
      </c>
      <c r="E18" s="2"/>
      <c r="F18" s="19"/>
      <c r="G18" s="2"/>
      <c r="H18" s="2">
        <f>--446.75</f>
        <v>446.75</v>
      </c>
      <c r="I18" s="2"/>
      <c r="J18" s="19"/>
      <c r="K18" s="2"/>
      <c r="L18" s="2">
        <f t="shared" si="0"/>
        <v>-57.25</v>
      </c>
      <c r="M18" s="2"/>
      <c r="N18" s="19">
        <f t="shared" si="1"/>
        <v>-0.12814773363178511</v>
      </c>
      <c r="O18" s="11"/>
      <c r="P18" s="2">
        <f>--389.5</f>
        <v>389.5</v>
      </c>
      <c r="Q18" s="2"/>
      <c r="R18" s="19"/>
      <c r="S18" s="2"/>
      <c r="T18" s="2">
        <f>--457.5</f>
        <v>457.5</v>
      </c>
      <c r="U18" s="2"/>
      <c r="V18" s="19"/>
      <c r="W18" s="2"/>
      <c r="X18" s="2">
        <f t="shared" si="2"/>
        <v>-68</v>
      </c>
      <c r="Y18" s="2"/>
      <c r="Z18" s="19">
        <f t="shared" si="3"/>
        <v>-0.14863387978142076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19"/>
      <c r="G19" s="2"/>
      <c r="H19" s="2">
        <f>--5.98</f>
        <v>5.98</v>
      </c>
      <c r="I19" s="2"/>
      <c r="J19" s="19"/>
      <c r="K19" s="2"/>
      <c r="L19" s="2">
        <f t="shared" si="0"/>
        <v>-5.98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--5.98</f>
        <v>5.98</v>
      </c>
      <c r="U19" s="2"/>
      <c r="V19" s="19"/>
      <c r="W19" s="2"/>
      <c r="X19" s="2">
        <f t="shared" si="2"/>
        <v>-5.98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--2713.4</f>
        <v>2713.4</v>
      </c>
      <c r="E20" s="2"/>
      <c r="F20" s="19"/>
      <c r="G20" s="2"/>
      <c r="H20" s="2">
        <f>--15.5</f>
        <v>15.5</v>
      </c>
      <c r="I20" s="2"/>
      <c r="J20" s="19"/>
      <c r="K20" s="2"/>
      <c r="L20" s="2">
        <f t="shared" si="0"/>
        <v>2697.9</v>
      </c>
      <c r="M20" s="2"/>
      <c r="N20" s="19">
        <f t="shared" si="1"/>
        <v>174.05806451612904</v>
      </c>
      <c r="O20" s="11"/>
      <c r="P20" s="2">
        <f>--2733.6</f>
        <v>2733.6</v>
      </c>
      <c r="Q20" s="2"/>
      <c r="R20" s="19"/>
      <c r="S20" s="2"/>
      <c r="T20" s="2">
        <f>--15.5</f>
        <v>15.5</v>
      </c>
      <c r="U20" s="2"/>
      <c r="V20" s="19"/>
      <c r="W20" s="2"/>
      <c r="X20" s="2">
        <f t="shared" si="2"/>
        <v>2718.1</v>
      </c>
      <c r="Y20" s="2"/>
      <c r="Z20" s="19">
        <f t="shared" si="3"/>
        <v>175.36129032258063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0</f>
        <v>0</v>
      </c>
      <c r="E21" s="2"/>
      <c r="F21" s="19"/>
      <c r="G21" s="2"/>
      <c r="H21" s="2">
        <f>--23</f>
        <v>23</v>
      </c>
      <c r="I21" s="2"/>
      <c r="J21" s="19"/>
      <c r="K21" s="2"/>
      <c r="L21" s="2">
        <f t="shared" si="0"/>
        <v>-23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--24</f>
        <v>24</v>
      </c>
      <c r="U21" s="2"/>
      <c r="V21" s="19"/>
      <c r="W21" s="2"/>
      <c r="X21" s="2">
        <f t="shared" si="2"/>
        <v>-24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-282.9</f>
        <v>-282.89999999999998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-282.89999999999998</v>
      </c>
      <c r="M22" s="2"/>
      <c r="N22" s="19">
        <f t="shared" si="1"/>
        <v>0</v>
      </c>
      <c r="O22" s="11"/>
      <c r="P22" s="2">
        <f>-282.9</f>
        <v>-282.89999999999998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-282.89999999999998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0</f>
        <v>0</v>
      </c>
      <c r="E23" s="2"/>
      <c r="F23" s="19"/>
      <c r="G23" s="2"/>
      <c r="H23" s="2">
        <f>-521.45</f>
        <v>-521.45000000000005</v>
      </c>
      <c r="I23" s="2"/>
      <c r="J23" s="19"/>
      <c r="K23" s="2"/>
      <c r="L23" s="2">
        <f t="shared" si="0"/>
        <v>521.45000000000005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-521.45</f>
        <v>-521.45000000000005</v>
      </c>
      <c r="U23" s="2"/>
      <c r="V23" s="19"/>
      <c r="W23" s="2"/>
      <c r="X23" s="2">
        <f t="shared" si="2"/>
        <v>521.45000000000005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6"/>
      <c r="G24" s="3"/>
      <c r="H24" s="3"/>
      <c r="I24" s="3"/>
      <c r="J24" s="6"/>
      <c r="K24" s="3"/>
      <c r="L24" s="3"/>
      <c r="M24" s="3"/>
      <c r="N24" s="6"/>
      <c r="P24" s="3"/>
      <c r="Q24" s="3"/>
      <c r="R24" s="6"/>
      <c r="S24" s="3"/>
      <c r="T24" s="3"/>
      <c r="U24" s="3"/>
      <c r="V24" s="6"/>
      <c r="W24" s="3"/>
      <c r="X24" s="3"/>
      <c r="Y24" s="3"/>
      <c r="Z24" s="6"/>
    </row>
    <row r="25" spans="1:26" s="23" customFormat="1" x14ac:dyDescent="0.3">
      <c r="A25" s="10"/>
      <c r="B25" s="26" t="s">
        <v>256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107</v>
      </c>
      <c r="C27" s="25"/>
      <c r="D27" s="20">
        <f>D12-D25</f>
        <v>55943.87</v>
      </c>
      <c r="E27" s="13"/>
      <c r="F27" s="22">
        <f>IF(D$12=0,0,D27/D$12)</f>
        <v>1</v>
      </c>
      <c r="G27" s="13"/>
      <c r="H27" s="20">
        <f>H12-H25</f>
        <v>47524.27</v>
      </c>
      <c r="I27" s="13"/>
      <c r="J27" s="22">
        <f>IF(H$12=0,0,H27/H$12)</f>
        <v>1</v>
      </c>
      <c r="K27" s="15"/>
      <c r="L27" s="20">
        <f>+D27-H27</f>
        <v>8419.6000000000058</v>
      </c>
      <c r="M27" s="15"/>
      <c r="N27" s="22">
        <f>IF(H27=0,0,L27/H27)</f>
        <v>0.17716421525254372</v>
      </c>
      <c r="O27" s="26"/>
      <c r="P27" s="20">
        <f>P12-P25</f>
        <v>58475.67</v>
      </c>
      <c r="Q27" s="13"/>
      <c r="R27" s="22">
        <f>IF(P$12=0,0,P27/P$12)</f>
        <v>1</v>
      </c>
      <c r="S27" s="13"/>
      <c r="T27" s="20">
        <f>T12-T25</f>
        <v>52372.140000000007</v>
      </c>
      <c r="U27" s="13"/>
      <c r="V27" s="22">
        <f>IF(T$12=0,0,T27/T$12)</f>
        <v>1</v>
      </c>
      <c r="W27" s="15"/>
      <c r="X27" s="20">
        <f>+P27-T27</f>
        <v>6103.5299999999916</v>
      </c>
      <c r="Y27" s="15"/>
      <c r="Z27" s="22">
        <f>IF(T27=0,0,X27/T27)</f>
        <v>0.11654154288902441</v>
      </c>
    </row>
    <row r="28" spans="1:26" x14ac:dyDescent="0.3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6" t="s">
        <v>294</v>
      </c>
      <c r="C29" s="10"/>
      <c r="D29" s="21">
        <f>SUM(OSRRefD22x_0)</f>
        <v>17838.41</v>
      </c>
      <c r="E29" s="21"/>
      <c r="F29" s="32">
        <f t="shared" ref="F29:F38" si="6">IF(D$12=0,0,D29/D$12)</f>
        <v>0.31886263856969493</v>
      </c>
      <c r="G29" s="21"/>
      <c r="H29" s="21">
        <f>SUM(OSRRefH22x_0)</f>
        <v>-50410.61</v>
      </c>
      <c r="I29" s="21"/>
      <c r="J29" s="32">
        <f t="shared" ref="J29:J38" si="7">IF(H$12=0,0,H29/H$12)</f>
        <v>-1.0607340207435065</v>
      </c>
      <c r="K29" s="4"/>
      <c r="L29" s="21">
        <f t="shared" ref="L29:L38" si="8">+D29-H29</f>
        <v>68249.02</v>
      </c>
      <c r="M29" s="4"/>
      <c r="N29" s="32">
        <f t="shared" ref="N29:N38" si="9">IF(H29=0,0,L29/H29)</f>
        <v>-1.3538622127365649</v>
      </c>
      <c r="O29" s="10"/>
      <c r="P29" s="21">
        <f>SUM(OSRRefP22x_0)</f>
        <v>55497.29</v>
      </c>
      <c r="Q29" s="21"/>
      <c r="R29" s="32">
        <f t="shared" ref="R29:R38" si="10">IF(P$12=0,0,P29/P$12)</f>
        <v>0.94906633818817299</v>
      </c>
      <c r="S29" s="21"/>
      <c r="T29" s="21">
        <f>SUM(OSRRefT22x_0)</f>
        <v>-1256.6599999999894</v>
      </c>
      <c r="U29" s="21"/>
      <c r="V29" s="32">
        <f t="shared" ref="V29:V38" si="11">IF(T$12=0,0,T29/T$12)</f>
        <v>-2.3994818619212224E-2</v>
      </c>
      <c r="W29" s="4"/>
      <c r="X29" s="21">
        <f t="shared" ref="X29:X38" si="12">+P29-T29</f>
        <v>56753.94999999999</v>
      </c>
      <c r="Y29" s="4"/>
      <c r="Z29" s="32">
        <f t="shared" ref="Z29:Z38" si="13">IF(T29=0,0,X29/T29)</f>
        <v>-45.162534018748481</v>
      </c>
    </row>
    <row r="30" spans="1:26" s="28" customFormat="1" outlineLevel="1" collapsed="1" x14ac:dyDescent="0.3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9174.36</v>
      </c>
      <c r="E30" s="1"/>
      <c r="F30" s="5">
        <f t="shared" si="6"/>
        <v>0.16399223006917468</v>
      </c>
      <c r="G30" s="1"/>
      <c r="H30" s="1">
        <f>SUM(OSRRefH22_0x_0)</f>
        <v>8903.2699999999986</v>
      </c>
      <c r="I30" s="1"/>
      <c r="J30" s="5">
        <f t="shared" si="7"/>
        <v>0.18734154149027432</v>
      </c>
      <c r="K30" s="1"/>
      <c r="L30" s="1">
        <f t="shared" si="8"/>
        <v>271.09000000000196</v>
      </c>
      <c r="M30" s="1"/>
      <c r="N30" s="5">
        <f t="shared" si="9"/>
        <v>3.0448363354138648E-2</v>
      </c>
      <c r="O30" s="14"/>
      <c r="P30" s="1">
        <f>SUM(OSRRefP22_0x_0)</f>
        <v>18095.68</v>
      </c>
      <c r="Q30" s="1"/>
      <c r="R30" s="5">
        <f t="shared" si="10"/>
        <v>0.30945656543995137</v>
      </c>
      <c r="S30" s="1"/>
      <c r="T30" s="1">
        <f>SUM(OSRRefT22_0x_0)</f>
        <v>16833.55</v>
      </c>
      <c r="U30" s="1"/>
      <c r="V30" s="5">
        <f t="shared" si="11"/>
        <v>0.32142184757010117</v>
      </c>
      <c r="W30" s="1"/>
      <c r="X30" s="1">
        <f t="shared" si="12"/>
        <v>1262.130000000001</v>
      </c>
      <c r="Y30" s="1"/>
      <c r="Z30" s="5">
        <f t="shared" si="13"/>
        <v>7.4977054750780495E-2</v>
      </c>
    </row>
    <row r="31" spans="1:26" s="24" customFormat="1" hidden="1" outlineLevel="2" x14ac:dyDescent="0.3">
      <c r="A31" s="27"/>
      <c r="B31" s="11" t="str">
        <f>CONCATENATE("          ", "6111", " - ", "F.I.C.A.")</f>
        <v xml:space="preserve">          6111 - F.I.C.A.</v>
      </c>
      <c r="C31" s="11"/>
      <c r="D31" s="7">
        <v>1387.4</v>
      </c>
      <c r="E31" s="2"/>
      <c r="F31" s="8">
        <f t="shared" si="6"/>
        <v>2.4799857428526129E-2</v>
      </c>
      <c r="G31" s="2"/>
      <c r="H31" s="7">
        <v>1290.1199999999999</v>
      </c>
      <c r="I31" s="2"/>
      <c r="J31" s="8">
        <f t="shared" si="7"/>
        <v>2.7146550594043844E-2</v>
      </c>
      <c r="K31" s="2"/>
      <c r="L31" s="7">
        <f t="shared" si="8"/>
        <v>97.2800000000002</v>
      </c>
      <c r="M31" s="2"/>
      <c r="N31" s="8">
        <f t="shared" si="9"/>
        <v>7.5403838402629375E-2</v>
      </c>
      <c r="O31" s="11"/>
      <c r="P31" s="7">
        <v>2634.91</v>
      </c>
      <c r="Q31" s="2"/>
      <c r="R31" s="8">
        <f t="shared" si="10"/>
        <v>4.5059936893412249E-2</v>
      </c>
      <c r="S31" s="2"/>
      <c r="T31" s="7">
        <v>2333.48</v>
      </c>
      <c r="U31" s="2"/>
      <c r="V31" s="8">
        <f t="shared" si="11"/>
        <v>4.4555750442888141E-2</v>
      </c>
      <c r="W31" s="2"/>
      <c r="X31" s="7">
        <f t="shared" si="12"/>
        <v>301.42999999999984</v>
      </c>
      <c r="Y31" s="2"/>
      <c r="Z31" s="8">
        <f t="shared" si="13"/>
        <v>0.12917616606956128</v>
      </c>
    </row>
    <row r="32" spans="1:26" s="24" customFormat="1" hidden="1" outlineLevel="2" x14ac:dyDescent="0.3">
      <c r="A32" s="27"/>
      <c r="B32" s="11" t="str">
        <f>CONCATENATE("          ", "6112", " - ", "COMPENSATION INSURANCE")</f>
        <v xml:space="preserve">          6112 - COMPENSATION INSURANCE</v>
      </c>
      <c r="C32" s="11"/>
      <c r="D32" s="7">
        <v>285</v>
      </c>
      <c r="E32" s="2"/>
      <c r="F32" s="8">
        <f t="shared" si="6"/>
        <v>5.0943919324851856E-3</v>
      </c>
      <c r="G32" s="2"/>
      <c r="H32" s="7">
        <v>311.95999999999998</v>
      </c>
      <c r="I32" s="2"/>
      <c r="J32" s="8">
        <f t="shared" si="7"/>
        <v>6.5642249738922867E-3</v>
      </c>
      <c r="K32" s="2"/>
      <c r="L32" s="7">
        <f t="shared" si="8"/>
        <v>-26.95999999999998</v>
      </c>
      <c r="M32" s="2"/>
      <c r="N32" s="8">
        <f t="shared" si="9"/>
        <v>-8.6421336068726706E-2</v>
      </c>
      <c r="O32" s="11"/>
      <c r="P32" s="7">
        <v>536.73</v>
      </c>
      <c r="Q32" s="2"/>
      <c r="R32" s="8">
        <f t="shared" si="10"/>
        <v>9.1786891881700545E-3</v>
      </c>
      <c r="S32" s="2"/>
      <c r="T32" s="7">
        <v>605.57000000000005</v>
      </c>
      <c r="U32" s="2"/>
      <c r="V32" s="8">
        <f t="shared" si="11"/>
        <v>1.1562827106167515E-2</v>
      </c>
      <c r="W32" s="2"/>
      <c r="X32" s="7">
        <f t="shared" si="12"/>
        <v>-68.840000000000032</v>
      </c>
      <c r="Y32" s="2"/>
      <c r="Z32" s="8">
        <f t="shared" si="13"/>
        <v>-0.11367802235909974</v>
      </c>
    </row>
    <row r="33" spans="1:26" s="24" customFormat="1" hidden="1" outlineLevel="2" x14ac:dyDescent="0.3">
      <c r="A33" s="27"/>
      <c r="B33" s="11" t="str">
        <f>CONCATENATE("          ", "6113", " - ", "GROUP INSURANCE")</f>
        <v xml:space="preserve">          6113 - GROUP INSURANCE</v>
      </c>
      <c r="C33" s="11"/>
      <c r="D33" s="7">
        <v>3410.23</v>
      </c>
      <c r="E33" s="2"/>
      <c r="F33" s="8">
        <f t="shared" si="6"/>
        <v>6.0958063859364753E-2</v>
      </c>
      <c r="G33" s="2"/>
      <c r="H33" s="7">
        <v>3321.73</v>
      </c>
      <c r="I33" s="2"/>
      <c r="J33" s="8">
        <f t="shared" si="7"/>
        <v>6.9895445001048939E-2</v>
      </c>
      <c r="K33" s="2"/>
      <c r="L33" s="7">
        <f t="shared" si="8"/>
        <v>88.5</v>
      </c>
      <c r="M33" s="2"/>
      <c r="N33" s="8">
        <f t="shared" si="9"/>
        <v>2.6642743389739685E-2</v>
      </c>
      <c r="O33" s="11"/>
      <c r="P33" s="7">
        <v>6820.46</v>
      </c>
      <c r="Q33" s="2"/>
      <c r="R33" s="8">
        <f t="shared" si="10"/>
        <v>0.11663756909497575</v>
      </c>
      <c r="S33" s="2"/>
      <c r="T33" s="7">
        <v>6046.21</v>
      </c>
      <c r="U33" s="2"/>
      <c r="V33" s="8">
        <f t="shared" si="11"/>
        <v>0.11544706784943291</v>
      </c>
      <c r="W33" s="2"/>
      <c r="X33" s="7">
        <f t="shared" si="12"/>
        <v>774.25</v>
      </c>
      <c r="Y33" s="2"/>
      <c r="Z33" s="8">
        <f t="shared" si="13"/>
        <v>0.12805542645723519</v>
      </c>
    </row>
    <row r="34" spans="1:26" s="24" customFormat="1" hidden="1" outlineLevel="2" x14ac:dyDescent="0.3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7">
        <v>50.07</v>
      </c>
      <c r="E34" s="2"/>
      <c r="F34" s="8">
        <f t="shared" si="6"/>
        <v>8.9500422477029203E-4</v>
      </c>
      <c r="G34" s="2"/>
      <c r="H34" s="7">
        <v>43.84</v>
      </c>
      <c r="I34" s="2"/>
      <c r="J34" s="8">
        <f t="shared" si="7"/>
        <v>9.2247603172021379E-4</v>
      </c>
      <c r="K34" s="2"/>
      <c r="L34" s="7">
        <f t="shared" si="8"/>
        <v>6.2299999999999969</v>
      </c>
      <c r="M34" s="2"/>
      <c r="N34" s="8">
        <f t="shared" si="9"/>
        <v>0.14210766423357657</v>
      </c>
      <c r="O34" s="11"/>
      <c r="P34" s="7">
        <v>94.29</v>
      </c>
      <c r="Q34" s="2"/>
      <c r="R34" s="8">
        <f t="shared" si="10"/>
        <v>1.6124654920584923E-3</v>
      </c>
      <c r="S34" s="2"/>
      <c r="T34" s="7">
        <v>85.1</v>
      </c>
      <c r="U34" s="2"/>
      <c r="V34" s="8">
        <f t="shared" si="11"/>
        <v>1.6249097325410035E-3</v>
      </c>
      <c r="W34" s="2"/>
      <c r="X34" s="7">
        <f t="shared" si="12"/>
        <v>9.1900000000000119</v>
      </c>
      <c r="Y34" s="2"/>
      <c r="Z34" s="8">
        <f t="shared" si="13"/>
        <v>0.10799059929494727</v>
      </c>
    </row>
    <row r="35" spans="1:26" s="24" customFormat="1" hidden="1" outlineLevel="2" x14ac:dyDescent="0.3">
      <c r="A35" s="27"/>
      <c r="B35" s="11" t="str">
        <f>CONCATENATE("          ", "6115", " - ", "P.E.R.S.")</f>
        <v xml:space="preserve">          6115 - P.E.R.S.</v>
      </c>
      <c r="C35" s="11"/>
      <c r="D35" s="7">
        <v>1590.79</v>
      </c>
      <c r="E35" s="2"/>
      <c r="F35" s="8">
        <f t="shared" si="6"/>
        <v>2.8435465762379326E-2</v>
      </c>
      <c r="G35" s="2"/>
      <c r="H35" s="7">
        <v>1614.45</v>
      </c>
      <c r="I35" s="2"/>
      <c r="J35" s="8">
        <f t="shared" si="7"/>
        <v>3.3971063627068865E-2</v>
      </c>
      <c r="K35" s="2"/>
      <c r="L35" s="7">
        <f t="shared" si="8"/>
        <v>-23.660000000000082</v>
      </c>
      <c r="M35" s="2"/>
      <c r="N35" s="8">
        <f t="shared" si="9"/>
        <v>-1.4655145715259117E-2</v>
      </c>
      <c r="O35" s="11"/>
      <c r="P35" s="7">
        <v>3181.58</v>
      </c>
      <c r="Q35" s="2"/>
      <c r="R35" s="8">
        <f t="shared" si="10"/>
        <v>5.4408611307916611E-2</v>
      </c>
      <c r="S35" s="2"/>
      <c r="T35" s="7">
        <v>3680.91</v>
      </c>
      <c r="U35" s="2"/>
      <c r="V35" s="8">
        <f t="shared" si="11"/>
        <v>7.028374246307291E-2</v>
      </c>
      <c r="W35" s="2"/>
      <c r="X35" s="7">
        <f t="shared" si="12"/>
        <v>-499.32999999999993</v>
      </c>
      <c r="Y35" s="2"/>
      <c r="Z35" s="8">
        <f t="shared" si="13"/>
        <v>-0.13565395513609405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7">
        <v>1216.0999999999999</v>
      </c>
      <c r="E36" s="2"/>
      <c r="F36" s="8">
        <f t="shared" si="6"/>
        <v>2.1737859751211345E-2</v>
      </c>
      <c r="G36" s="2"/>
      <c r="H36" s="7">
        <v>1216.0999999999999</v>
      </c>
      <c r="I36" s="2"/>
      <c r="J36" s="8">
        <f t="shared" si="7"/>
        <v>2.5589030615304559E-2</v>
      </c>
      <c r="K36" s="2"/>
      <c r="L36" s="7">
        <f t="shared" si="8"/>
        <v>0</v>
      </c>
      <c r="M36" s="2"/>
      <c r="N36" s="8">
        <f t="shared" si="9"/>
        <v>0</v>
      </c>
      <c r="O36" s="11"/>
      <c r="P36" s="7">
        <v>2432.1999999999998</v>
      </c>
      <c r="Q36" s="2"/>
      <c r="R36" s="8">
        <f t="shared" si="10"/>
        <v>4.1593366950733526E-2</v>
      </c>
      <c r="S36" s="2"/>
      <c r="T36" s="7">
        <v>2194.98</v>
      </c>
      <c r="U36" s="2"/>
      <c r="V36" s="8">
        <f t="shared" si="11"/>
        <v>4.1911214626708014E-2</v>
      </c>
      <c r="W36" s="2"/>
      <c r="X36" s="7">
        <f t="shared" si="12"/>
        <v>237.2199999999998</v>
      </c>
      <c r="Y36" s="2"/>
      <c r="Z36" s="8">
        <f t="shared" si="13"/>
        <v>0.10807387766631121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7">
        <v>738.5</v>
      </c>
      <c r="E37" s="2"/>
      <c r="F37" s="8">
        <f t="shared" si="6"/>
        <v>1.320073137593091E-2</v>
      </c>
      <c r="G37" s="2"/>
      <c r="H37" s="7">
        <v>738.5</v>
      </c>
      <c r="I37" s="2"/>
      <c r="J37" s="8">
        <f t="shared" si="7"/>
        <v>1.5539428590907341E-2</v>
      </c>
      <c r="K37" s="2"/>
      <c r="L37" s="7">
        <f t="shared" si="8"/>
        <v>0</v>
      </c>
      <c r="M37" s="2"/>
      <c r="N37" s="8">
        <f t="shared" si="9"/>
        <v>0</v>
      </c>
      <c r="O37" s="11"/>
      <c r="P37" s="7">
        <v>1477</v>
      </c>
      <c r="Q37" s="2"/>
      <c r="R37" s="8">
        <f t="shared" si="10"/>
        <v>2.5258368138406966E-2</v>
      </c>
      <c r="S37" s="2"/>
      <c r="T37" s="7">
        <v>1371.02</v>
      </c>
      <c r="U37" s="2"/>
      <c r="V37" s="8">
        <f t="shared" si="11"/>
        <v>2.6178422344399137E-2</v>
      </c>
      <c r="W37" s="2"/>
      <c r="X37" s="7">
        <f t="shared" si="12"/>
        <v>105.98000000000002</v>
      </c>
      <c r="Y37" s="2"/>
      <c r="Z37" s="8">
        <f t="shared" si="13"/>
        <v>7.7300112325130205E-2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7">
        <v>496.27</v>
      </c>
      <c r="E38" s="2"/>
      <c r="F38" s="8">
        <f t="shared" si="6"/>
        <v>8.8708557345067475E-3</v>
      </c>
      <c r="G38" s="2"/>
      <c r="H38" s="7">
        <v>366.57</v>
      </c>
      <c r="I38" s="2"/>
      <c r="J38" s="8">
        <f t="shared" si="7"/>
        <v>7.7133220562882925E-3</v>
      </c>
      <c r="K38" s="2"/>
      <c r="L38" s="7">
        <f t="shared" si="8"/>
        <v>129.69999999999999</v>
      </c>
      <c r="M38" s="2"/>
      <c r="N38" s="8">
        <f t="shared" si="9"/>
        <v>0.35382055269116403</v>
      </c>
      <c r="O38" s="11"/>
      <c r="P38" s="7">
        <v>918.51</v>
      </c>
      <c r="Q38" s="2"/>
      <c r="R38" s="8">
        <f t="shared" si="10"/>
        <v>1.5707558374277713E-2</v>
      </c>
      <c r="S38" s="2"/>
      <c r="T38" s="7">
        <v>516.28</v>
      </c>
      <c r="U38" s="2"/>
      <c r="V38" s="8">
        <f t="shared" si="11"/>
        <v>9.857913004891531E-3</v>
      </c>
      <c r="W38" s="2"/>
      <c r="X38" s="7">
        <f t="shared" si="12"/>
        <v>402.23</v>
      </c>
      <c r="Y38" s="2"/>
      <c r="Z38" s="8">
        <f t="shared" si="13"/>
        <v>0.7790927403734409</v>
      </c>
    </row>
    <row r="39" spans="1:26" s="28" customFormat="1" outlineLevel="1" collapsed="1" x14ac:dyDescent="0.3">
      <c r="A39" s="29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17940.689999999999</v>
      </c>
      <c r="E39" s="1"/>
      <c r="F39" s="5">
        <f t="shared" ref="F39:F42" si="14">IF(D$12=0,0,D39/D$12)</f>
        <v>0.32069089964637765</v>
      </c>
      <c r="G39" s="1"/>
      <c r="H39" s="1">
        <f>SUM(OSRRefH22_1x_0)</f>
        <v>13505.78</v>
      </c>
      <c r="I39" s="1"/>
      <c r="J39" s="5">
        <f t="shared" ref="J39:J42" si="15">IF(H$12=0,0,H39/H$12)</f>
        <v>0.28418700592349977</v>
      </c>
      <c r="K39" s="1"/>
      <c r="L39" s="1">
        <f t="shared" ref="L39:L42" si="16">+D39-H39</f>
        <v>4434.909999999998</v>
      </c>
      <c r="M39" s="1"/>
      <c r="N39" s="5">
        <f t="shared" ref="N39:N42" si="17">IF(H39=0,0,L39/H39)</f>
        <v>0.32837126030484709</v>
      </c>
      <c r="O39" s="14"/>
      <c r="P39" s="1">
        <f>SUM(OSRRefP22_1x_0)</f>
        <v>37382.240000000005</v>
      </c>
      <c r="Q39" s="1"/>
      <c r="R39" s="5">
        <f t="shared" ref="R39:R42" si="18">IF(P$12=0,0,P39/P$12)</f>
        <v>0.63927852387155215</v>
      </c>
      <c r="S39" s="1"/>
      <c r="T39" s="1">
        <f>SUM(OSRRefT22_1x_0)</f>
        <v>28565.72</v>
      </c>
      <c r="U39" s="1"/>
      <c r="V39" s="5">
        <f t="shared" ref="V39:V42" si="19">IF(T$12=0,0,T39/T$12)</f>
        <v>0.54543732602868622</v>
      </c>
      <c r="W39" s="1"/>
      <c r="X39" s="1">
        <f t="shared" ref="X39:X42" si="20">+P39-T39</f>
        <v>8816.5200000000041</v>
      </c>
      <c r="Y39" s="1"/>
      <c r="Z39" s="5">
        <f t="shared" ref="Z39:Z42" si="21">IF(T39=0,0,X39/T39)</f>
        <v>0.30863986624527595</v>
      </c>
    </row>
    <row r="40" spans="1:26" s="24" customFormat="1" hidden="1" outlineLevel="2" x14ac:dyDescent="0.3">
      <c r="A40" s="27"/>
      <c r="B40" s="11" t="str">
        <f>CONCATENATE("          ", "6002", " - ", "STAFF SALARIES")</f>
        <v xml:space="preserve">          6002 - STAFF SALARIES</v>
      </c>
      <c r="C40" s="11"/>
      <c r="D40" s="7">
        <v>15332.57</v>
      </c>
      <c r="E40" s="2"/>
      <c r="F40" s="8">
        <f t="shared" si="14"/>
        <v>0.27407059969215569</v>
      </c>
      <c r="G40" s="2"/>
      <c r="H40" s="7">
        <v>12050.26</v>
      </c>
      <c r="I40" s="2"/>
      <c r="J40" s="8">
        <f t="shared" si="15"/>
        <v>0.25356012833021951</v>
      </c>
      <c r="K40" s="2"/>
      <c r="L40" s="7">
        <f t="shared" si="16"/>
        <v>3282.3099999999995</v>
      </c>
      <c r="M40" s="2"/>
      <c r="N40" s="8">
        <f t="shared" si="17"/>
        <v>0.27238499418269807</v>
      </c>
      <c r="O40" s="11"/>
      <c r="P40" s="7">
        <v>34266.620000000003</v>
      </c>
      <c r="Q40" s="2"/>
      <c r="R40" s="8">
        <f t="shared" si="18"/>
        <v>0.58599790305951183</v>
      </c>
      <c r="S40" s="2"/>
      <c r="T40" s="7">
        <v>27110.2</v>
      </c>
      <c r="U40" s="2"/>
      <c r="V40" s="8">
        <f t="shared" si="19"/>
        <v>0.51764545042459598</v>
      </c>
      <c r="W40" s="2"/>
      <c r="X40" s="7">
        <f t="shared" si="20"/>
        <v>7156.4200000000019</v>
      </c>
      <c r="Y40" s="2"/>
      <c r="Z40" s="8">
        <f t="shared" si="21"/>
        <v>0.26397518277253584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8">
        <f t="shared" si="14"/>
        <v>0</v>
      </c>
      <c r="G41" s="2"/>
      <c r="H41" s="7">
        <v>383.25</v>
      </c>
      <c r="I41" s="2"/>
      <c r="J41" s="8">
        <f t="shared" si="15"/>
        <v>8.0643006194519151E-3</v>
      </c>
      <c r="K41" s="2"/>
      <c r="L41" s="7">
        <f t="shared" si="16"/>
        <v>-383.25</v>
      </c>
      <c r="M41" s="2"/>
      <c r="N41" s="8">
        <f t="shared" si="17"/>
        <v>-1</v>
      </c>
      <c r="O41" s="11"/>
      <c r="P41" s="7"/>
      <c r="Q41" s="2"/>
      <c r="R41" s="8">
        <f t="shared" si="18"/>
        <v>0</v>
      </c>
      <c r="S41" s="2"/>
      <c r="T41" s="7">
        <v>383.25</v>
      </c>
      <c r="U41" s="2"/>
      <c r="V41" s="8">
        <f t="shared" si="19"/>
        <v>7.3178220328594546E-3</v>
      </c>
      <c r="W41" s="2"/>
      <c r="X41" s="7">
        <f t="shared" si="20"/>
        <v>-383.25</v>
      </c>
      <c r="Y41" s="2"/>
      <c r="Z41" s="8">
        <f t="shared" si="21"/>
        <v>-1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7">
        <v>2608.12</v>
      </c>
      <c r="E42" s="2"/>
      <c r="F42" s="8">
        <f t="shared" si="14"/>
        <v>4.6620299954221969E-2</v>
      </c>
      <c r="G42" s="2"/>
      <c r="H42" s="7">
        <v>1072.27</v>
      </c>
      <c r="I42" s="2"/>
      <c r="J42" s="8">
        <f t="shared" si="15"/>
        <v>2.2562576973828321E-2</v>
      </c>
      <c r="K42" s="2"/>
      <c r="L42" s="7">
        <f t="shared" si="16"/>
        <v>1535.85</v>
      </c>
      <c r="M42" s="2"/>
      <c r="N42" s="8">
        <f t="shared" si="17"/>
        <v>1.4323351394704691</v>
      </c>
      <c r="O42" s="11"/>
      <c r="P42" s="7">
        <v>3115.62</v>
      </c>
      <c r="Q42" s="2"/>
      <c r="R42" s="8">
        <f t="shared" si="18"/>
        <v>5.328062081204029E-2</v>
      </c>
      <c r="S42" s="2"/>
      <c r="T42" s="7">
        <v>1072.27</v>
      </c>
      <c r="U42" s="2"/>
      <c r="V42" s="8">
        <f t="shared" si="19"/>
        <v>2.0474053571230808E-2</v>
      </c>
      <c r="W42" s="2"/>
      <c r="X42" s="7">
        <f t="shared" si="20"/>
        <v>2043.35</v>
      </c>
      <c r="Y42" s="2"/>
      <c r="Z42" s="8">
        <f t="shared" si="21"/>
        <v>1.9056301118188514</v>
      </c>
    </row>
    <row r="43" spans="1:26" s="28" customFormat="1" outlineLevel="1" collapsed="1" x14ac:dyDescent="0.3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SUM(OSRRefD22_2x_0)</f>
        <v>169.88</v>
      </c>
      <c r="E43" s="1"/>
      <c r="F43" s="5">
        <f t="shared" ref="F43:F51" si="22">IF(D$12=0,0,D43/D$12)</f>
        <v>3.036615092949415E-3</v>
      </c>
      <c r="G43" s="1"/>
      <c r="H43" s="1">
        <f>SUM(OSRRefH22_2x_0)</f>
        <v>169.88</v>
      </c>
      <c r="I43" s="1"/>
      <c r="J43" s="5">
        <f t="shared" ref="J43:J51" si="23">IF(H$12=0,0,H43/H$12)</f>
        <v>3.5745946229158282E-3</v>
      </c>
      <c r="K43" s="1"/>
      <c r="L43" s="1">
        <f t="shared" ref="L43:L51" si="24">+D43-H43</f>
        <v>0</v>
      </c>
      <c r="M43" s="1"/>
      <c r="N43" s="5">
        <f t="shared" ref="N43:N51" si="25">IF(H43=0,0,L43/H43)</f>
        <v>0</v>
      </c>
      <c r="O43" s="14"/>
      <c r="P43" s="1">
        <f>SUM(OSRRefP22_2x_0)</f>
        <v>339.76</v>
      </c>
      <c r="Q43" s="1"/>
      <c r="R43" s="5">
        <f t="shared" ref="R43:R51" si="26">IF(P$12=0,0,P43/P$12)</f>
        <v>5.8102797283040965E-3</v>
      </c>
      <c r="S43" s="1"/>
      <c r="T43" s="1">
        <f>SUM(OSRRefT22_2x_0)</f>
        <v>339.76</v>
      </c>
      <c r="U43" s="1"/>
      <c r="V43" s="5">
        <f t="shared" ref="V43:V51" si="27">IF(T$12=0,0,T43/T$12)</f>
        <v>6.4874186924574776E-3</v>
      </c>
      <c r="W43" s="1"/>
      <c r="X43" s="1">
        <f t="shared" ref="X43:X51" si="28">+P43-T43</f>
        <v>0</v>
      </c>
      <c r="Y43" s="1"/>
      <c r="Z43" s="5">
        <f t="shared" ref="Z43:Z51" si="29">IF(T43=0,0,X43/T43)</f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169.88</v>
      </c>
      <c r="E44" s="2"/>
      <c r="F44" s="8">
        <f t="shared" si="22"/>
        <v>3.036615092949415E-3</v>
      </c>
      <c r="G44" s="2"/>
      <c r="H44" s="7">
        <v>169.88</v>
      </c>
      <c r="I44" s="2"/>
      <c r="J44" s="8">
        <f t="shared" si="23"/>
        <v>3.5745946229158282E-3</v>
      </c>
      <c r="K44" s="2"/>
      <c r="L44" s="7">
        <f t="shared" si="24"/>
        <v>0</v>
      </c>
      <c r="M44" s="2"/>
      <c r="N44" s="8">
        <f t="shared" si="25"/>
        <v>0</v>
      </c>
      <c r="O44" s="11"/>
      <c r="P44" s="7">
        <v>339.76</v>
      </c>
      <c r="Q44" s="2"/>
      <c r="R44" s="8">
        <f t="shared" si="26"/>
        <v>5.8102797283040965E-3</v>
      </c>
      <c r="S44" s="2"/>
      <c r="T44" s="7">
        <v>339.76</v>
      </c>
      <c r="U44" s="2"/>
      <c r="V44" s="8">
        <f t="shared" si="27"/>
        <v>6.4874186924574776E-3</v>
      </c>
      <c r="W44" s="2"/>
      <c r="X44" s="7">
        <f t="shared" si="28"/>
        <v>0</v>
      </c>
      <c r="Y44" s="2"/>
      <c r="Z44" s="8">
        <f t="shared" si="29"/>
        <v>0</v>
      </c>
    </row>
    <row r="45" spans="1:26" s="28" customFormat="1" outlineLevel="1" collapsed="1" x14ac:dyDescent="0.3">
      <c r="A45" s="29"/>
      <c r="B45" s="14" t="str">
        <f>CONCATENATE("     ","Discounts and Markdowns                           ")</f>
        <v xml:space="preserve">     Discounts and Markdowns                           </v>
      </c>
      <c r="C45" s="14"/>
      <c r="D45" s="1">
        <f>SUM(OSRRefD22_3x_0)</f>
        <v>0</v>
      </c>
      <c r="E45" s="1"/>
      <c r="F45" s="5">
        <f t="shared" si="22"/>
        <v>0</v>
      </c>
      <c r="G45" s="1"/>
      <c r="H45" s="1">
        <f>SUM(OSRRefH22_3x_0)</f>
        <v>0</v>
      </c>
      <c r="I45" s="1"/>
      <c r="J45" s="5">
        <f t="shared" si="23"/>
        <v>0</v>
      </c>
      <c r="K45" s="1"/>
      <c r="L45" s="1">
        <f t="shared" si="24"/>
        <v>0</v>
      </c>
      <c r="M45" s="1"/>
      <c r="N45" s="5">
        <f t="shared" si="25"/>
        <v>0</v>
      </c>
      <c r="O45" s="14"/>
      <c r="P45" s="1">
        <f>SUM(OSRRefP22_3x_0)</f>
        <v>0</v>
      </c>
      <c r="Q45" s="1"/>
      <c r="R45" s="5">
        <f t="shared" si="26"/>
        <v>0</v>
      </c>
      <c r="S45" s="1"/>
      <c r="T45" s="1">
        <f>SUM(OSRRefT22_3x_0)</f>
        <v>0</v>
      </c>
      <c r="U45" s="1"/>
      <c r="V45" s="5">
        <f t="shared" si="27"/>
        <v>0</v>
      </c>
      <c r="W45" s="1"/>
      <c r="X45" s="1">
        <f t="shared" si="28"/>
        <v>0</v>
      </c>
      <c r="Y45" s="1"/>
      <c r="Z45" s="5">
        <f t="shared" si="29"/>
        <v>0</v>
      </c>
    </row>
    <row r="46" spans="1:26" s="24" customFormat="1" hidden="1" outlineLevel="2" x14ac:dyDescent="0.3">
      <c r="A46" s="27"/>
      <c r="B46" s="11" t="str">
        <f>CONCATENATE("          ", "6382", " - ", "DISCOUNTS/MARK DOWNS")</f>
        <v xml:space="preserve">          6382 - DISCOUNTS/MARK DOWNS</v>
      </c>
      <c r="C46" s="11"/>
      <c r="D46" s="7"/>
      <c r="E46" s="2"/>
      <c r="F46" s="8">
        <f t="shared" si="22"/>
        <v>0</v>
      </c>
      <c r="G46" s="2"/>
      <c r="H46" s="7">
        <v>0</v>
      </c>
      <c r="I46" s="2"/>
      <c r="J46" s="8">
        <f t="shared" si="23"/>
        <v>0</v>
      </c>
      <c r="K46" s="2"/>
      <c r="L46" s="7">
        <f t="shared" si="24"/>
        <v>0</v>
      </c>
      <c r="M46" s="2"/>
      <c r="N46" s="8">
        <f t="shared" si="25"/>
        <v>0</v>
      </c>
      <c r="O46" s="11"/>
      <c r="P46" s="7"/>
      <c r="Q46" s="2"/>
      <c r="R46" s="8">
        <f t="shared" si="26"/>
        <v>0</v>
      </c>
      <c r="S46" s="2"/>
      <c r="T46" s="7">
        <v>0</v>
      </c>
      <c r="U46" s="2"/>
      <c r="V46" s="8">
        <f t="shared" si="27"/>
        <v>0</v>
      </c>
      <c r="W46" s="2"/>
      <c r="X46" s="7">
        <f t="shared" si="28"/>
        <v>0</v>
      </c>
      <c r="Y46" s="2"/>
      <c r="Z46" s="8">
        <f t="shared" si="29"/>
        <v>0</v>
      </c>
    </row>
    <row r="47" spans="1:26" s="28" customFormat="1" outlineLevel="1" collapsed="1" x14ac:dyDescent="0.3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SUM(OSRRefD22_4x_0)</f>
        <v>1205.6400000000001</v>
      </c>
      <c r="E47" s="1"/>
      <c r="F47" s="5">
        <f t="shared" si="22"/>
        <v>2.1550886629759437E-2</v>
      </c>
      <c r="G47" s="1"/>
      <c r="H47" s="1">
        <f>SUM(OSRRefH22_4x_0)</f>
        <v>1205.6400000000001</v>
      </c>
      <c r="I47" s="1"/>
      <c r="J47" s="5">
        <f t="shared" si="23"/>
        <v>2.5368932547517303E-2</v>
      </c>
      <c r="K47" s="1"/>
      <c r="L47" s="1">
        <f t="shared" si="24"/>
        <v>0</v>
      </c>
      <c r="M47" s="1"/>
      <c r="N47" s="5">
        <f t="shared" si="25"/>
        <v>0</v>
      </c>
      <c r="O47" s="14"/>
      <c r="P47" s="1">
        <f>SUM(OSRRefP22_4x_0)</f>
        <v>2411.2800000000002</v>
      </c>
      <c r="Q47" s="1"/>
      <c r="R47" s="5">
        <f t="shared" si="26"/>
        <v>4.1235611323478638E-2</v>
      </c>
      <c r="S47" s="1"/>
      <c r="T47" s="1">
        <f>SUM(OSRRefT22_4x_0)</f>
        <v>2411.2800000000002</v>
      </c>
      <c r="U47" s="1"/>
      <c r="V47" s="5">
        <f t="shared" si="27"/>
        <v>4.6041273089088966E-2</v>
      </c>
      <c r="W47" s="1"/>
      <c r="X47" s="1">
        <f t="shared" si="28"/>
        <v>0</v>
      </c>
      <c r="Y47" s="1"/>
      <c r="Z47" s="5">
        <f t="shared" si="29"/>
        <v>0</v>
      </c>
    </row>
    <row r="48" spans="1:26" s="24" customFormat="1" hidden="1" outlineLevel="2" x14ac:dyDescent="0.3">
      <c r="A48" s="27"/>
      <c r="B48" s="11" t="str">
        <f>CONCATENATE("          ", "6351", " - ", "EQUIPMENT RENTAL")</f>
        <v xml:space="preserve">          6351 - EQUIPMENT RENTAL</v>
      </c>
      <c r="C48" s="11"/>
      <c r="D48" s="7">
        <v>1205.6400000000001</v>
      </c>
      <c r="E48" s="2"/>
      <c r="F48" s="8">
        <f t="shared" si="22"/>
        <v>2.1550886629759437E-2</v>
      </c>
      <c r="G48" s="2"/>
      <c r="H48" s="7">
        <v>1205.6400000000001</v>
      </c>
      <c r="I48" s="2"/>
      <c r="J48" s="8">
        <f t="shared" si="23"/>
        <v>2.5368932547517303E-2</v>
      </c>
      <c r="K48" s="2"/>
      <c r="L48" s="7">
        <f t="shared" si="24"/>
        <v>0</v>
      </c>
      <c r="M48" s="2"/>
      <c r="N48" s="8">
        <f t="shared" si="25"/>
        <v>0</v>
      </c>
      <c r="O48" s="11"/>
      <c r="P48" s="7">
        <v>2411.2800000000002</v>
      </c>
      <c r="Q48" s="2"/>
      <c r="R48" s="8">
        <f t="shared" si="26"/>
        <v>4.1235611323478638E-2</v>
      </c>
      <c r="S48" s="2"/>
      <c r="T48" s="7">
        <v>2411.2800000000002</v>
      </c>
      <c r="U48" s="2"/>
      <c r="V48" s="8">
        <f t="shared" si="27"/>
        <v>4.6041273089088966E-2</v>
      </c>
      <c r="W48" s="2"/>
      <c r="X48" s="7">
        <f t="shared" si="28"/>
        <v>0</v>
      </c>
      <c r="Y48" s="2"/>
      <c r="Z48" s="8">
        <f t="shared" si="29"/>
        <v>0</v>
      </c>
    </row>
    <row r="49" spans="1:26" s="28" customFormat="1" outlineLevel="1" collapsed="1" x14ac:dyDescent="0.3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SUM(OSRRefD22_5x_0)</f>
        <v>-20187.95</v>
      </c>
      <c r="E49" s="1"/>
      <c r="F49" s="5">
        <f t="shared" si="22"/>
        <v>-0.36086080566110279</v>
      </c>
      <c r="G49" s="1"/>
      <c r="H49" s="1">
        <f>SUM(OSRRefH22_5x_0)</f>
        <v>-84423.840000000011</v>
      </c>
      <c r="I49" s="1"/>
      <c r="J49" s="5">
        <f t="shared" si="23"/>
        <v>-1.776436334529705</v>
      </c>
      <c r="K49" s="1"/>
      <c r="L49" s="1">
        <f t="shared" si="24"/>
        <v>64235.890000000014</v>
      </c>
      <c r="M49" s="1"/>
      <c r="N49" s="5">
        <f t="shared" si="25"/>
        <v>-0.76087382426575245</v>
      </c>
      <c r="O49" s="14"/>
      <c r="P49" s="1">
        <f>SUM(OSRRefP22_5x_0)</f>
        <v>-17904.090000000004</v>
      </c>
      <c r="Q49" s="1"/>
      <c r="R49" s="5">
        <f t="shared" si="26"/>
        <v>-0.30618016005631066</v>
      </c>
      <c r="S49" s="1"/>
      <c r="T49" s="1">
        <f>SUM(OSRRefT22_5x_0)</f>
        <v>-75679.079999999987</v>
      </c>
      <c r="U49" s="1"/>
      <c r="V49" s="5">
        <f t="shared" si="27"/>
        <v>-1.4450255422062184</v>
      </c>
      <c r="W49" s="1"/>
      <c r="X49" s="1">
        <f t="shared" si="28"/>
        <v>57774.989999999983</v>
      </c>
      <c r="Y49" s="1"/>
      <c r="Z49" s="5">
        <f t="shared" si="29"/>
        <v>-0.76342088196632407</v>
      </c>
    </row>
    <row r="50" spans="1:26" s="24" customFormat="1" hidden="1" outlineLevel="2" x14ac:dyDescent="0.3">
      <c r="A50" s="27"/>
      <c r="B50" s="11" t="str">
        <f>CONCATENATE("          ", "6305", " - ", "FREIGHT OUT")</f>
        <v xml:space="preserve">          6305 - FREIGHT OUT</v>
      </c>
      <c r="C50" s="11"/>
      <c r="D50" s="7">
        <v>4220.1899999999996</v>
      </c>
      <c r="E50" s="2"/>
      <c r="F50" s="8">
        <f t="shared" si="22"/>
        <v>7.5436146980893515E-2</v>
      </c>
      <c r="G50" s="2"/>
      <c r="H50" s="7">
        <v>7873.15</v>
      </c>
      <c r="I50" s="2"/>
      <c r="J50" s="8">
        <f t="shared" si="23"/>
        <v>0.16566587977048358</v>
      </c>
      <c r="K50" s="2"/>
      <c r="L50" s="7">
        <f t="shared" si="24"/>
        <v>-3652.96</v>
      </c>
      <c r="M50" s="2"/>
      <c r="N50" s="8">
        <f t="shared" si="25"/>
        <v>-0.46397693426392234</v>
      </c>
      <c r="O50" s="11"/>
      <c r="P50" s="7">
        <v>14131.31</v>
      </c>
      <c r="Q50" s="2"/>
      <c r="R50" s="8">
        <f t="shared" si="26"/>
        <v>0.24166136104126726</v>
      </c>
      <c r="S50" s="2"/>
      <c r="T50" s="7">
        <v>19778.349999999999</v>
      </c>
      <c r="U50" s="2"/>
      <c r="V50" s="8">
        <f t="shared" si="27"/>
        <v>0.37765021631730145</v>
      </c>
      <c r="W50" s="2"/>
      <c r="X50" s="7">
        <f t="shared" si="28"/>
        <v>-5647.0399999999991</v>
      </c>
      <c r="Y50" s="2"/>
      <c r="Z50" s="8">
        <f t="shared" si="29"/>
        <v>-0.28551623365953172</v>
      </c>
    </row>
    <row r="51" spans="1:26" s="24" customFormat="1" hidden="1" outlineLevel="2" x14ac:dyDescent="0.3">
      <c r="A51" s="27"/>
      <c r="B51" s="11" t="str">
        <f>CONCATENATE("          ", "6307", " - ", "POSTAGE")</f>
        <v xml:space="preserve">          6307 - POSTAGE</v>
      </c>
      <c r="C51" s="11"/>
      <c r="D51" s="7">
        <v>-24408.14</v>
      </c>
      <c r="E51" s="2"/>
      <c r="F51" s="8">
        <f t="shared" si="22"/>
        <v>-0.43629695264199631</v>
      </c>
      <c r="G51" s="2"/>
      <c r="H51" s="7">
        <v>-92296.99</v>
      </c>
      <c r="I51" s="2"/>
      <c r="J51" s="8">
        <f t="shared" si="23"/>
        <v>-1.9421022143001883</v>
      </c>
      <c r="K51" s="2"/>
      <c r="L51" s="7">
        <f t="shared" si="24"/>
        <v>67888.850000000006</v>
      </c>
      <c r="M51" s="2"/>
      <c r="N51" s="8">
        <f t="shared" si="25"/>
        <v>-0.73554782230709803</v>
      </c>
      <c r="O51" s="11"/>
      <c r="P51" s="7">
        <v>-32035.4</v>
      </c>
      <c r="Q51" s="2"/>
      <c r="R51" s="8">
        <f t="shared" si="26"/>
        <v>-0.54784152109757789</v>
      </c>
      <c r="S51" s="2"/>
      <c r="T51" s="7">
        <v>-95457.43</v>
      </c>
      <c r="U51" s="2"/>
      <c r="V51" s="8">
        <f t="shared" si="27"/>
        <v>-1.82267575852352</v>
      </c>
      <c r="W51" s="2"/>
      <c r="X51" s="7">
        <f t="shared" si="28"/>
        <v>63422.029999999992</v>
      </c>
      <c r="Y51" s="2"/>
      <c r="Z51" s="8">
        <f t="shared" si="29"/>
        <v>-0.66440118909549517</v>
      </c>
    </row>
    <row r="52" spans="1:26" s="28" customFormat="1" outlineLevel="1" collapsed="1" x14ac:dyDescent="0.3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SUM(OSRRefD22_6x_0)</f>
        <v>1731.54</v>
      </c>
      <c r="E52" s="1"/>
      <c r="F52" s="5">
        <f t="shared" ref="F52:F54" si="30">IF(D$12=0,0,D52/D$12)</f>
        <v>3.095138037465052E-2</v>
      </c>
      <c r="G52" s="1"/>
      <c r="H52" s="1">
        <f>SUM(OSRRefH22_6x_0)</f>
        <v>5225.0200000000004</v>
      </c>
      <c r="I52" s="1"/>
      <c r="J52" s="5">
        <f t="shared" ref="J52:J54" si="31">IF(H$12=0,0,H52/H$12)</f>
        <v>0.10994424532980729</v>
      </c>
      <c r="K52" s="1"/>
      <c r="L52" s="1">
        <f t="shared" ref="L52:L54" si="32">+D52-H52</f>
        <v>-3493.4800000000005</v>
      </c>
      <c r="M52" s="1"/>
      <c r="N52" s="5">
        <f t="shared" ref="N52:N54" si="33">IF(H52=0,0,L52/H52)</f>
        <v>-0.6686060531825716</v>
      </c>
      <c r="O52" s="14"/>
      <c r="P52" s="1">
        <f>SUM(OSRRefP22_6x_0)</f>
        <v>4077.52</v>
      </c>
      <c r="Q52" s="1"/>
      <c r="R52" s="5">
        <f t="shared" ref="R52:R54" si="34">IF(P$12=0,0,P52/P$12)</f>
        <v>6.9730197191413115E-2</v>
      </c>
      <c r="S52" s="1"/>
      <c r="T52" s="1">
        <f>SUM(OSRRefT22_6x_0)</f>
        <v>11603.12</v>
      </c>
      <c r="U52" s="1"/>
      <c r="V52" s="5">
        <f t="shared" ref="V52:V54" si="35">IF(T$12=0,0,T52/T$12)</f>
        <v>0.22155138208979047</v>
      </c>
      <c r="W52" s="1"/>
      <c r="X52" s="1">
        <f t="shared" ref="X52:X54" si="36">+P52-T52</f>
        <v>-7525.6</v>
      </c>
      <c r="Y52" s="1"/>
      <c r="Z52" s="5">
        <f t="shared" ref="Z52:Z54" si="37">IF(T52=0,0,X52/T52)</f>
        <v>-0.64858417391184442</v>
      </c>
    </row>
    <row r="53" spans="1:26" s="24" customFormat="1" hidden="1" outlineLevel="2" x14ac:dyDescent="0.3">
      <c r="A53" s="27"/>
      <c r="B53" s="11" t="str">
        <f>CONCATENATE("          ", "6373", " - ", "MAINTENANCE CONTRACTS")</f>
        <v xml:space="preserve">          6373 - MAINTENANCE CONTRACTS</v>
      </c>
      <c r="C53" s="11"/>
      <c r="D53" s="7">
        <v>55.74</v>
      </c>
      <c r="E53" s="2"/>
      <c r="F53" s="8">
        <f t="shared" si="30"/>
        <v>9.9635581163762883E-4</v>
      </c>
      <c r="G53" s="2"/>
      <c r="H53" s="7">
        <v>5225.0200000000004</v>
      </c>
      <c r="I53" s="2"/>
      <c r="J53" s="8">
        <f t="shared" si="31"/>
        <v>0.10994424532980729</v>
      </c>
      <c r="K53" s="2"/>
      <c r="L53" s="7">
        <f t="shared" si="32"/>
        <v>-5169.2800000000007</v>
      </c>
      <c r="M53" s="2"/>
      <c r="N53" s="8">
        <f t="shared" si="33"/>
        <v>-0.98933209825034163</v>
      </c>
      <c r="O53" s="11"/>
      <c r="P53" s="7">
        <v>681.08</v>
      </c>
      <c r="Q53" s="2"/>
      <c r="R53" s="8">
        <f t="shared" si="34"/>
        <v>1.1647237218487622E-2</v>
      </c>
      <c r="S53" s="2"/>
      <c r="T53" s="7">
        <v>11603.12</v>
      </c>
      <c r="U53" s="2"/>
      <c r="V53" s="8">
        <f t="shared" si="35"/>
        <v>0.22155138208979047</v>
      </c>
      <c r="W53" s="2"/>
      <c r="X53" s="7">
        <f t="shared" si="36"/>
        <v>-10922.04</v>
      </c>
      <c r="Y53" s="2"/>
      <c r="Z53" s="8">
        <f t="shared" si="37"/>
        <v>-0.94130199463592557</v>
      </c>
    </row>
    <row r="54" spans="1:26" s="24" customFormat="1" hidden="1" outlineLevel="2" x14ac:dyDescent="0.3">
      <c r="A54" s="27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1675.8</v>
      </c>
      <c r="E54" s="2"/>
      <c r="F54" s="8">
        <f t="shared" si="30"/>
        <v>2.995502456301289E-2</v>
      </c>
      <c r="G54" s="2"/>
      <c r="H54" s="7"/>
      <c r="I54" s="2"/>
      <c r="J54" s="8">
        <f t="shared" si="31"/>
        <v>0</v>
      </c>
      <c r="K54" s="2"/>
      <c r="L54" s="7">
        <f t="shared" si="32"/>
        <v>1675.8</v>
      </c>
      <c r="M54" s="2"/>
      <c r="N54" s="8">
        <f t="shared" si="33"/>
        <v>0</v>
      </c>
      <c r="O54" s="11"/>
      <c r="P54" s="7">
        <v>3396.44</v>
      </c>
      <c r="Q54" s="2"/>
      <c r="R54" s="8">
        <f t="shared" si="34"/>
        <v>5.8082959972925494E-2</v>
      </c>
      <c r="S54" s="2"/>
      <c r="T54" s="7"/>
      <c r="U54" s="2"/>
      <c r="V54" s="8">
        <f t="shared" si="35"/>
        <v>0</v>
      </c>
      <c r="W54" s="2"/>
      <c r="X54" s="7">
        <f t="shared" si="36"/>
        <v>3396.44</v>
      </c>
      <c r="Y54" s="2"/>
      <c r="Z54" s="8">
        <f t="shared" si="37"/>
        <v>0</v>
      </c>
    </row>
    <row r="55" spans="1:26" s="28" customFormat="1" outlineLevel="1" collapsed="1" x14ac:dyDescent="0.3">
      <c r="A55" s="29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SUM(OSRRefD22_7x_0)</f>
        <v>601.89</v>
      </c>
      <c r="E55" s="1"/>
      <c r="F55" s="5">
        <f t="shared" ref="F55:F62" si="38">IF(D$12=0,0,D55/D$12)</f>
        <v>1.0758819509626344E-2</v>
      </c>
      <c r="G55" s="1"/>
      <c r="H55" s="1">
        <f>SUM(OSRRefH22_7x_0)</f>
        <v>4.6500000000000004</v>
      </c>
      <c r="I55" s="1"/>
      <c r="J55" s="5">
        <f t="shared" ref="J55:J62" si="39">IF(H$12=0,0,H55/H$12)</f>
        <v>9.7844743327988009E-5</v>
      </c>
      <c r="K55" s="1"/>
      <c r="L55" s="1">
        <f t="shared" ref="L55:L62" si="40">+D55-H55</f>
        <v>597.24</v>
      </c>
      <c r="M55" s="1"/>
      <c r="N55" s="5">
        <f t="shared" ref="N55:N62" si="41">IF(H55=0,0,L55/H55)</f>
        <v>128.43870967741935</v>
      </c>
      <c r="O55" s="14"/>
      <c r="P55" s="1">
        <f>SUM(OSRRefP22_7x_0)</f>
        <v>607.95000000000005</v>
      </c>
      <c r="Q55" s="1"/>
      <c r="R55" s="5">
        <f t="shared" ref="R55:R62" si="42">IF(P$12=0,0,P55/P$12)</f>
        <v>1.0396631624742393E-2</v>
      </c>
      <c r="S55" s="1"/>
      <c r="T55" s="1">
        <f>SUM(OSRRefT22_7x_0)</f>
        <v>5322.2</v>
      </c>
      <c r="U55" s="1"/>
      <c r="V55" s="5">
        <f t="shared" ref="V55:V62" si="43">IF(T$12=0,0,T55/T$12)</f>
        <v>0.10162273300269951</v>
      </c>
      <c r="W55" s="1"/>
      <c r="X55" s="1">
        <f t="shared" ref="X55:X62" si="44">+P55-T55</f>
        <v>-4714.25</v>
      </c>
      <c r="Y55" s="1"/>
      <c r="Z55" s="5">
        <f t="shared" ref="Z55:Z62" si="45">IF(T55=0,0,X55/T55)</f>
        <v>-0.88577092179925598</v>
      </c>
    </row>
    <row r="56" spans="1:26" s="24" customFormat="1" hidden="1" outlineLevel="2" x14ac:dyDescent="0.3">
      <c r="A56" s="27"/>
      <c r="B56" s="11" t="str">
        <f>CONCATENATE("          ", "6259", " - ", "ROYALTY &amp; COMMISSIONS")</f>
        <v xml:space="preserve">          6259 - ROYALTY &amp; COMMISSIONS</v>
      </c>
      <c r="C56" s="11"/>
      <c r="D56" s="7">
        <v>601.89</v>
      </c>
      <c r="E56" s="2"/>
      <c r="F56" s="8">
        <f t="shared" si="38"/>
        <v>1.0758819509626344E-2</v>
      </c>
      <c r="G56" s="2"/>
      <c r="H56" s="7">
        <v>4.6500000000000004</v>
      </c>
      <c r="I56" s="2"/>
      <c r="J56" s="8">
        <f t="shared" si="39"/>
        <v>9.7844743327988009E-5</v>
      </c>
      <c r="K56" s="2"/>
      <c r="L56" s="7">
        <f t="shared" si="40"/>
        <v>597.24</v>
      </c>
      <c r="M56" s="2"/>
      <c r="N56" s="8">
        <f t="shared" si="41"/>
        <v>128.43870967741935</v>
      </c>
      <c r="O56" s="11"/>
      <c r="P56" s="7">
        <v>607.95000000000005</v>
      </c>
      <c r="Q56" s="2"/>
      <c r="R56" s="8">
        <f t="shared" si="42"/>
        <v>1.0396631624742393E-2</v>
      </c>
      <c r="S56" s="2"/>
      <c r="T56" s="7">
        <v>5322.2</v>
      </c>
      <c r="U56" s="2"/>
      <c r="V56" s="8">
        <f t="shared" si="43"/>
        <v>0.10162273300269951</v>
      </c>
      <c r="W56" s="2"/>
      <c r="X56" s="7">
        <f t="shared" si="44"/>
        <v>-4714.25</v>
      </c>
      <c r="Y56" s="2"/>
      <c r="Z56" s="8">
        <f t="shared" si="45"/>
        <v>-0.88577092179925598</v>
      </c>
    </row>
    <row r="57" spans="1:26" s="28" customFormat="1" outlineLevel="1" collapsed="1" x14ac:dyDescent="0.3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7042.86</v>
      </c>
      <c r="E57" s="1"/>
      <c r="F57" s="5">
        <f t="shared" si="38"/>
        <v>0.12589154093200916</v>
      </c>
      <c r="G57" s="1"/>
      <c r="H57" s="1">
        <f>SUM(OSRRefH22_8x_0)</f>
        <v>4783.22</v>
      </c>
      <c r="I57" s="1"/>
      <c r="J57" s="5">
        <f t="shared" si="39"/>
        <v>0.10064794261963415</v>
      </c>
      <c r="K57" s="1"/>
      <c r="L57" s="1">
        <f t="shared" si="40"/>
        <v>2259.6399999999994</v>
      </c>
      <c r="M57" s="1"/>
      <c r="N57" s="5">
        <f t="shared" si="41"/>
        <v>0.47240979925656762</v>
      </c>
      <c r="O57" s="14"/>
      <c r="P57" s="1">
        <f>SUM(OSRRefP22_8x_0)</f>
        <v>10159.65</v>
      </c>
      <c r="Q57" s="1"/>
      <c r="R57" s="5">
        <f t="shared" si="42"/>
        <v>0.17374148940918505</v>
      </c>
      <c r="S57" s="1"/>
      <c r="T57" s="1">
        <f>SUM(OSRRefT22_8x_0)</f>
        <v>8931.02</v>
      </c>
      <c r="U57" s="1"/>
      <c r="V57" s="5">
        <f t="shared" si="43"/>
        <v>0.17052998025285962</v>
      </c>
      <c r="W57" s="1"/>
      <c r="X57" s="1">
        <f t="shared" si="44"/>
        <v>1228.6299999999992</v>
      </c>
      <c r="Y57" s="1"/>
      <c r="Z57" s="5">
        <f t="shared" si="45"/>
        <v>0.1375688331232042</v>
      </c>
    </row>
    <row r="58" spans="1:26" s="24" customFormat="1" hidden="1" outlineLevel="2" x14ac:dyDescent="0.3">
      <c r="A58" s="27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8">
        <f t="shared" si="38"/>
        <v>0</v>
      </c>
      <c r="G58" s="2"/>
      <c r="H58" s="7"/>
      <c r="I58" s="2"/>
      <c r="J58" s="8">
        <f t="shared" si="39"/>
        <v>0</v>
      </c>
      <c r="K58" s="2"/>
      <c r="L58" s="7">
        <f t="shared" si="40"/>
        <v>0</v>
      </c>
      <c r="M58" s="2"/>
      <c r="N58" s="8">
        <f t="shared" si="41"/>
        <v>0</v>
      </c>
      <c r="O58" s="11"/>
      <c r="P58" s="7"/>
      <c r="Q58" s="2"/>
      <c r="R58" s="8">
        <f t="shared" si="42"/>
        <v>0</v>
      </c>
      <c r="S58" s="2"/>
      <c r="T58" s="7">
        <v>310.91000000000003</v>
      </c>
      <c r="U58" s="2"/>
      <c r="V58" s="8">
        <f t="shared" si="43"/>
        <v>5.9365532895925199E-3</v>
      </c>
      <c r="W58" s="2"/>
      <c r="X58" s="7">
        <f t="shared" si="44"/>
        <v>-310.91000000000003</v>
      </c>
      <c r="Y58" s="2"/>
      <c r="Z58" s="8">
        <f t="shared" si="45"/>
        <v>-1</v>
      </c>
    </row>
    <row r="59" spans="1:26" s="24" customFormat="1" hidden="1" outlineLevel="2" x14ac:dyDescent="0.3">
      <c r="A59" s="27"/>
      <c r="B59" s="11" t="str">
        <f>CONCATENATE("          ", "6241", " - ", "OFFICE EXPENSE")</f>
        <v xml:space="preserve">          6241 - OFFICE EXPENSE</v>
      </c>
      <c r="C59" s="11"/>
      <c r="D59" s="7">
        <v>4675.71</v>
      </c>
      <c r="E59" s="2"/>
      <c r="F59" s="8">
        <f t="shared" si="38"/>
        <v>8.3578594044351945E-2</v>
      </c>
      <c r="G59" s="2"/>
      <c r="H59" s="7"/>
      <c r="I59" s="2"/>
      <c r="J59" s="8">
        <f t="shared" si="39"/>
        <v>0</v>
      </c>
      <c r="K59" s="2"/>
      <c r="L59" s="7">
        <f t="shared" si="40"/>
        <v>4675.71</v>
      </c>
      <c r="M59" s="2"/>
      <c r="N59" s="8">
        <f t="shared" si="41"/>
        <v>0</v>
      </c>
      <c r="O59" s="11"/>
      <c r="P59" s="7">
        <v>4829.5600000000004</v>
      </c>
      <c r="Q59" s="2"/>
      <c r="R59" s="8">
        <f t="shared" si="42"/>
        <v>8.2590930552826514E-2</v>
      </c>
      <c r="S59" s="2"/>
      <c r="T59" s="7"/>
      <c r="U59" s="2"/>
      <c r="V59" s="8">
        <f t="shared" si="43"/>
        <v>0</v>
      </c>
      <c r="W59" s="2"/>
      <c r="X59" s="7">
        <f t="shared" si="44"/>
        <v>4829.5600000000004</v>
      </c>
      <c r="Y59" s="2"/>
      <c r="Z59" s="8">
        <f t="shared" si="45"/>
        <v>0</v>
      </c>
    </row>
    <row r="60" spans="1:26" s="24" customFormat="1" hidden="1" outlineLevel="2" x14ac:dyDescent="0.3">
      <c r="A60" s="27"/>
      <c r="B60" s="11" t="str">
        <f>CONCATENATE("          ", "6243", " - ", "PAPER SUPPLIES")</f>
        <v xml:space="preserve">          6243 - PAPER SUPPLIES</v>
      </c>
      <c r="C60" s="11"/>
      <c r="D60" s="7">
        <v>1801.68</v>
      </c>
      <c r="E60" s="2"/>
      <c r="F60" s="8">
        <f t="shared" si="38"/>
        <v>3.220513704182424E-2</v>
      </c>
      <c r="G60" s="2"/>
      <c r="H60" s="7">
        <v>2044.69</v>
      </c>
      <c r="I60" s="2"/>
      <c r="J60" s="8">
        <f t="shared" si="39"/>
        <v>4.3024122201140602E-2</v>
      </c>
      <c r="K60" s="2"/>
      <c r="L60" s="7">
        <f t="shared" si="40"/>
        <v>-243.01</v>
      </c>
      <c r="M60" s="2"/>
      <c r="N60" s="8">
        <f t="shared" si="41"/>
        <v>-0.11884931212066376</v>
      </c>
      <c r="O60" s="11"/>
      <c r="P60" s="7">
        <v>3450.92</v>
      </c>
      <c r="Q60" s="2"/>
      <c r="R60" s="8">
        <f t="shared" si="42"/>
        <v>5.9014629503176284E-2</v>
      </c>
      <c r="S60" s="2"/>
      <c r="T60" s="7">
        <v>3124.69</v>
      </c>
      <c r="U60" s="2"/>
      <c r="V60" s="8">
        <f t="shared" si="43"/>
        <v>5.9663210248807851E-2</v>
      </c>
      <c r="W60" s="2"/>
      <c r="X60" s="7">
        <f t="shared" si="44"/>
        <v>326.23</v>
      </c>
      <c r="Y60" s="2"/>
      <c r="Z60" s="8">
        <f t="shared" si="45"/>
        <v>0.10440395687252176</v>
      </c>
    </row>
    <row r="61" spans="1:26" s="24" customFormat="1" hidden="1" outlineLevel="2" x14ac:dyDescent="0.3">
      <c r="A61" s="27"/>
      <c r="B61" s="11" t="str">
        <f>CONCATENATE("          ", "6245", " - ", "PRINTING")</f>
        <v xml:space="preserve">          6245 - PRINTING</v>
      </c>
      <c r="C61" s="11"/>
      <c r="D61" s="7">
        <v>-1187.1400000000001</v>
      </c>
      <c r="E61" s="2"/>
      <c r="F61" s="8">
        <f t="shared" si="38"/>
        <v>-2.1220198030633203E-2</v>
      </c>
      <c r="G61" s="2"/>
      <c r="H61" s="7">
        <v>1248</v>
      </c>
      <c r="I61" s="2"/>
      <c r="J61" s="8">
        <f t="shared" si="39"/>
        <v>2.6260266596414845E-2</v>
      </c>
      <c r="K61" s="2"/>
      <c r="L61" s="7">
        <f t="shared" si="40"/>
        <v>-2435.1400000000003</v>
      </c>
      <c r="M61" s="2"/>
      <c r="N61" s="8">
        <f t="shared" si="41"/>
        <v>-1.9512339743589746</v>
      </c>
      <c r="O61" s="11"/>
      <c r="P61" s="7">
        <v>-935.5</v>
      </c>
      <c r="Q61" s="2"/>
      <c r="R61" s="8">
        <f t="shared" si="42"/>
        <v>-1.5998106562951739E-2</v>
      </c>
      <c r="S61" s="2"/>
      <c r="T61" s="7">
        <v>-295.5</v>
      </c>
      <c r="U61" s="2"/>
      <c r="V61" s="8">
        <f t="shared" si="43"/>
        <v>-5.6423128785648242E-3</v>
      </c>
      <c r="W61" s="2"/>
      <c r="X61" s="7">
        <f t="shared" si="44"/>
        <v>-640</v>
      </c>
      <c r="Y61" s="2"/>
      <c r="Z61" s="8">
        <f t="shared" si="45"/>
        <v>2.1658206429780034</v>
      </c>
    </row>
    <row r="62" spans="1:26" s="24" customFormat="1" hidden="1" outlineLevel="2" x14ac:dyDescent="0.3">
      <c r="A62" s="27"/>
      <c r="B62" s="11" t="str">
        <f>CONCATENATE("          ", "6247", " - ", "STORE SUPPLIES")</f>
        <v xml:space="preserve">          6247 - STORE SUPPLIES</v>
      </c>
      <c r="C62" s="11"/>
      <c r="D62" s="7">
        <v>1752.61</v>
      </c>
      <c r="E62" s="2"/>
      <c r="F62" s="8">
        <f t="shared" si="38"/>
        <v>3.1328007876466175E-2</v>
      </c>
      <c r="G62" s="2"/>
      <c r="H62" s="7">
        <v>1490.53</v>
      </c>
      <c r="I62" s="2"/>
      <c r="J62" s="8">
        <f t="shared" si="39"/>
        <v>3.1363553822078699E-2</v>
      </c>
      <c r="K62" s="2"/>
      <c r="L62" s="7">
        <f t="shared" si="40"/>
        <v>262.07999999999993</v>
      </c>
      <c r="M62" s="2"/>
      <c r="N62" s="8">
        <f t="shared" si="41"/>
        <v>0.17583007386634281</v>
      </c>
      <c r="O62" s="11"/>
      <c r="P62" s="7">
        <v>2814.67</v>
      </c>
      <c r="Q62" s="2"/>
      <c r="R62" s="8">
        <f t="shared" si="42"/>
        <v>4.8134035916134014E-2</v>
      </c>
      <c r="S62" s="2"/>
      <c r="T62" s="7">
        <v>5790.92</v>
      </c>
      <c r="U62" s="2"/>
      <c r="V62" s="8">
        <f t="shared" si="43"/>
        <v>0.11057252959302406</v>
      </c>
      <c r="W62" s="2"/>
      <c r="X62" s="7">
        <f t="shared" si="44"/>
        <v>-2976.25</v>
      </c>
      <c r="Y62" s="2"/>
      <c r="Z62" s="8">
        <f t="shared" si="45"/>
        <v>-0.51395115111243117</v>
      </c>
    </row>
    <row r="63" spans="1:26" s="28" customFormat="1" outlineLevel="1" collapsed="1" x14ac:dyDescent="0.3">
      <c r="A63" s="29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SUM(OSRRefD22_9x_0)</f>
        <v>159.5</v>
      </c>
      <c r="E63" s="1"/>
      <c r="F63" s="5">
        <f t="shared" ref="F63:F66" si="46">IF(D$12=0,0,D63/D$12)</f>
        <v>2.8510719762504808E-3</v>
      </c>
      <c r="G63" s="1"/>
      <c r="H63" s="1">
        <f>SUM(OSRRefH22_9x_0)</f>
        <v>200.75</v>
      </c>
      <c r="I63" s="1"/>
      <c r="J63" s="5">
        <f t="shared" ref="J63:J66" si="47">IF(H$12=0,0,H63/H$12)</f>
        <v>4.2241574673319553E-3</v>
      </c>
      <c r="K63" s="1"/>
      <c r="L63" s="1">
        <f t="shared" ref="L63:L66" si="48">+D63-H63</f>
        <v>-41.25</v>
      </c>
      <c r="M63" s="1"/>
      <c r="N63" s="5">
        <f t="shared" ref="N63:N66" si="49">IF(H63=0,0,L63/H63)</f>
        <v>-0.20547945205479451</v>
      </c>
      <c r="O63" s="14"/>
      <c r="P63" s="1">
        <f>SUM(OSRRefP22_9x_0)</f>
        <v>327.3</v>
      </c>
      <c r="Q63" s="1"/>
      <c r="R63" s="5">
        <f t="shared" ref="R63:R66" si="50">IF(P$12=0,0,P63/P$12)</f>
        <v>5.597199655856872E-3</v>
      </c>
      <c r="S63" s="1"/>
      <c r="T63" s="1">
        <f>SUM(OSRRefT22_9x_0)</f>
        <v>400.75</v>
      </c>
      <c r="U63" s="1"/>
      <c r="V63" s="5">
        <f t="shared" ref="V63:V66" si="51">IF(T$12=0,0,T63/T$12)</f>
        <v>7.6519691576475571E-3</v>
      </c>
      <c r="W63" s="1"/>
      <c r="X63" s="1">
        <f t="shared" ref="X63:X66" si="52">+P63-T63</f>
        <v>-73.449999999999989</v>
      </c>
      <c r="Y63" s="1"/>
      <c r="Z63" s="5">
        <f t="shared" ref="Z63:Z66" si="53">IF(T63=0,0,X63/T63)</f>
        <v>-0.18328134747348718</v>
      </c>
    </row>
    <row r="64" spans="1:26" s="24" customFormat="1" hidden="1" outlineLevel="2" x14ac:dyDescent="0.3">
      <c r="A64" s="27"/>
      <c r="B64" s="11" t="str">
        <f>CONCATENATE("          ", "6309", " - ", "TELEPHONE")</f>
        <v xml:space="preserve">          6309 - TELEPHONE</v>
      </c>
      <c r="C64" s="11"/>
      <c r="D64" s="7">
        <v>159.5</v>
      </c>
      <c r="E64" s="2"/>
      <c r="F64" s="8">
        <f t="shared" si="46"/>
        <v>2.8510719762504808E-3</v>
      </c>
      <c r="G64" s="2"/>
      <c r="H64" s="7">
        <v>200.75</v>
      </c>
      <c r="I64" s="2"/>
      <c r="J64" s="8">
        <f t="shared" si="47"/>
        <v>4.2241574673319553E-3</v>
      </c>
      <c r="K64" s="2"/>
      <c r="L64" s="7">
        <f t="shared" si="48"/>
        <v>-41.25</v>
      </c>
      <c r="M64" s="2"/>
      <c r="N64" s="8">
        <f t="shared" si="49"/>
        <v>-0.20547945205479451</v>
      </c>
      <c r="O64" s="11"/>
      <c r="P64" s="7">
        <v>327.3</v>
      </c>
      <c r="Q64" s="2"/>
      <c r="R64" s="8">
        <f t="shared" si="50"/>
        <v>5.597199655856872E-3</v>
      </c>
      <c r="S64" s="2"/>
      <c r="T64" s="7">
        <v>400.75</v>
      </c>
      <c r="U64" s="2"/>
      <c r="V64" s="8">
        <f t="shared" si="51"/>
        <v>7.6519691576475571E-3</v>
      </c>
      <c r="W64" s="2"/>
      <c r="X64" s="7">
        <f t="shared" si="52"/>
        <v>-73.449999999999989</v>
      </c>
      <c r="Y64" s="2"/>
      <c r="Z64" s="8">
        <f t="shared" si="53"/>
        <v>-0.18328134747348718</v>
      </c>
    </row>
    <row r="65" spans="1:26" s="28" customFormat="1" outlineLevel="1" collapsed="1" x14ac:dyDescent="0.3">
      <c r="A65" s="29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SUM(OSRRefD22_10x_0)</f>
        <v>0</v>
      </c>
      <c r="E65" s="1"/>
      <c r="F65" s="5">
        <f t="shared" si="46"/>
        <v>0</v>
      </c>
      <c r="G65" s="1"/>
      <c r="H65" s="1">
        <f>SUM(OSRRefH22_10x_0)</f>
        <v>15.02</v>
      </c>
      <c r="I65" s="1"/>
      <c r="J65" s="5">
        <f t="shared" si="47"/>
        <v>3.1604904188954402E-4</v>
      </c>
      <c r="K65" s="1"/>
      <c r="L65" s="1">
        <f t="shared" si="48"/>
        <v>-15.02</v>
      </c>
      <c r="M65" s="1"/>
      <c r="N65" s="5">
        <f t="shared" si="49"/>
        <v>-1</v>
      </c>
      <c r="O65" s="14"/>
      <c r="P65" s="1">
        <f>SUM(OSRRefP22_10x_0)</f>
        <v>0</v>
      </c>
      <c r="Q65" s="1"/>
      <c r="R65" s="5">
        <f t="shared" si="50"/>
        <v>0</v>
      </c>
      <c r="S65" s="1"/>
      <c r="T65" s="1">
        <f>SUM(OSRRefT22_10x_0)</f>
        <v>15.02</v>
      </c>
      <c r="U65" s="1"/>
      <c r="V65" s="5">
        <f t="shared" si="51"/>
        <v>2.8679370367527466E-4</v>
      </c>
      <c r="W65" s="1"/>
      <c r="X65" s="1">
        <f t="shared" si="52"/>
        <v>-15.02</v>
      </c>
      <c r="Y65" s="1"/>
      <c r="Z65" s="5">
        <f t="shared" si="53"/>
        <v>-1</v>
      </c>
    </row>
    <row r="66" spans="1:26" s="24" customFormat="1" hidden="1" outlineLevel="2" x14ac:dyDescent="0.3">
      <c r="A66" s="27"/>
      <c r="B66" s="11" t="str">
        <f>CONCATENATE("          ", "6274", " - ", "UTILITIES")</f>
        <v xml:space="preserve">          6274 - UTILITIES</v>
      </c>
      <c r="C66" s="11"/>
      <c r="D66" s="7"/>
      <c r="E66" s="2"/>
      <c r="F66" s="8">
        <f t="shared" si="46"/>
        <v>0</v>
      </c>
      <c r="G66" s="2"/>
      <c r="H66" s="7">
        <v>15.02</v>
      </c>
      <c r="I66" s="2"/>
      <c r="J66" s="8">
        <f t="shared" si="47"/>
        <v>3.1604904188954402E-4</v>
      </c>
      <c r="K66" s="2"/>
      <c r="L66" s="7">
        <f t="shared" si="48"/>
        <v>-15.02</v>
      </c>
      <c r="M66" s="2"/>
      <c r="N66" s="8">
        <f t="shared" si="49"/>
        <v>-1</v>
      </c>
      <c r="O66" s="11"/>
      <c r="P66" s="7"/>
      <c r="Q66" s="2"/>
      <c r="R66" s="8">
        <f t="shared" si="50"/>
        <v>0</v>
      </c>
      <c r="S66" s="2"/>
      <c r="T66" s="7">
        <v>15.02</v>
      </c>
      <c r="U66" s="2"/>
      <c r="V66" s="8">
        <f t="shared" si="51"/>
        <v>2.8679370367527466E-4</v>
      </c>
      <c r="W66" s="2"/>
      <c r="X66" s="7">
        <f t="shared" si="52"/>
        <v>-15.02</v>
      </c>
      <c r="Y66" s="2"/>
      <c r="Z66" s="8">
        <f t="shared" si="53"/>
        <v>-1</v>
      </c>
    </row>
    <row r="67" spans="1:26" s="61" customFormat="1" x14ac:dyDescent="0.3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6" t="s">
        <v>292</v>
      </c>
      <c r="C68" s="10"/>
      <c r="D68" s="4">
        <f>SUM(OSRRefD25x_0)</f>
        <v>0</v>
      </c>
      <c r="E68" s="4"/>
      <c r="F68" s="12">
        <f t="shared" ref="F68:F69" si="54">IF(D$12=0,0,D68/D$12)</f>
        <v>0</v>
      </c>
      <c r="G68" s="4"/>
      <c r="H68" s="4">
        <f>SUM(OSRRefH25x_0)</f>
        <v>6782</v>
      </c>
      <c r="I68" s="4"/>
      <c r="J68" s="12">
        <f t="shared" ref="J68:J69" si="55">IF(H$12=0,0,H68/H$12)</f>
        <v>0.14270603209686336</v>
      </c>
      <c r="K68" s="4"/>
      <c r="L68" s="4">
        <f t="shared" ref="L68:L69" si="56">+D68-H68</f>
        <v>-6782</v>
      </c>
      <c r="M68" s="4"/>
      <c r="N68" s="12">
        <f t="shared" ref="N68:N69" si="57">IF(H68=0,0,L68/H68)</f>
        <v>-1</v>
      </c>
      <c r="O68" s="10"/>
      <c r="P68" s="4">
        <f>SUM(OSRRefP25x_0)</f>
        <v>0</v>
      </c>
      <c r="Q68" s="4"/>
      <c r="R68" s="12">
        <f t="shared" ref="R68:R69" si="58">IF(P$12=0,0,P68/P$12)</f>
        <v>0</v>
      </c>
      <c r="S68" s="4"/>
      <c r="T68" s="4">
        <f>SUM(OSRRefT25x_0)</f>
        <v>13564</v>
      </c>
      <c r="U68" s="4"/>
      <c r="V68" s="12">
        <f t="shared" ref="V68:V69" si="59">IF(T$12=0,0,T68/T$12)</f>
        <v>0.25899266289290446</v>
      </c>
      <c r="W68" s="4"/>
      <c r="X68" s="4">
        <f t="shared" ref="X68:X69" si="60">+P68-T68</f>
        <v>-13564</v>
      </c>
      <c r="Y68" s="4"/>
      <c r="Z68" s="12">
        <f t="shared" ref="Z68:Z69" si="61">IF(T68=0,0,X68/T68)</f>
        <v>-1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>0</f>
        <v>0</v>
      </c>
      <c r="E69" s="2"/>
      <c r="F69" s="19">
        <f t="shared" si="54"/>
        <v>0</v>
      </c>
      <c r="G69" s="2"/>
      <c r="H69" s="2">
        <f>--6782</f>
        <v>6782</v>
      </c>
      <c r="I69" s="2"/>
      <c r="J69" s="19">
        <f t="shared" si="55"/>
        <v>0.14270603209686336</v>
      </c>
      <c r="K69" s="2"/>
      <c r="L69" s="2">
        <f t="shared" si="56"/>
        <v>-6782</v>
      </c>
      <c r="M69" s="2"/>
      <c r="N69" s="19">
        <f t="shared" si="57"/>
        <v>-1</v>
      </c>
      <c r="O69" s="11"/>
      <c r="P69" s="2">
        <f>0</f>
        <v>0</v>
      </c>
      <c r="Q69" s="2"/>
      <c r="R69" s="19">
        <f t="shared" si="58"/>
        <v>0</v>
      </c>
      <c r="S69" s="2"/>
      <c r="T69" s="2">
        <f>--13564</f>
        <v>13564</v>
      </c>
      <c r="U69" s="2"/>
      <c r="V69" s="19">
        <f t="shared" si="59"/>
        <v>0.25899266289290446</v>
      </c>
      <c r="W69" s="2"/>
      <c r="X69" s="2">
        <f t="shared" si="60"/>
        <v>-13564</v>
      </c>
      <c r="Y69" s="2"/>
      <c r="Z69" s="19">
        <f t="shared" si="61"/>
        <v>-1</v>
      </c>
    </row>
    <row r="70" spans="1:26" x14ac:dyDescent="0.3">
      <c r="A70" s="9"/>
      <c r="B70" s="10"/>
      <c r="C70" s="10"/>
      <c r="D70" s="3"/>
      <c r="E70" s="3"/>
      <c r="F70" s="6"/>
      <c r="G70" s="3"/>
      <c r="H70" s="3"/>
      <c r="I70" s="3"/>
      <c r="J70" s="6"/>
      <c r="K70" s="3"/>
      <c r="L70" s="3"/>
      <c r="M70" s="3"/>
      <c r="N70" s="6"/>
      <c r="O70" s="10"/>
      <c r="P70" s="3"/>
      <c r="Q70" s="3"/>
      <c r="R70" s="6"/>
      <c r="S70" s="3"/>
      <c r="T70" s="3"/>
      <c r="U70" s="3"/>
      <c r="V70" s="6"/>
      <c r="W70" s="3"/>
      <c r="X70" s="3"/>
      <c r="Y70" s="3"/>
      <c r="Z70" s="6"/>
    </row>
    <row r="71" spans="1:26" s="23" customFormat="1" x14ac:dyDescent="0.3">
      <c r="A71" s="10"/>
      <c r="B71" s="25" t="s">
        <v>276</v>
      </c>
      <c r="C71" s="25"/>
      <c r="D71" s="20">
        <f>+D27-D29+D68</f>
        <v>38105.460000000006</v>
      </c>
      <c r="E71" s="13"/>
      <c r="F71" s="22">
        <f>IF(D$12=0,0,D71/D$12)</f>
        <v>0.68113736143030512</v>
      </c>
      <c r="G71" s="13"/>
      <c r="H71" s="20">
        <f>+H27-H29+H68</f>
        <v>104716.88</v>
      </c>
      <c r="I71" s="13"/>
      <c r="J71" s="22">
        <f>IF(H$12=0,0,H71/H$12)</f>
        <v>2.2034400528403699</v>
      </c>
      <c r="K71" s="15"/>
      <c r="L71" s="20">
        <f>+D71-H71</f>
        <v>-66611.42</v>
      </c>
      <c r="M71" s="15"/>
      <c r="N71" s="22">
        <f>IF(H71=0,0,L71/H71)</f>
        <v>-0.6361096701887986</v>
      </c>
      <c r="O71" s="26"/>
      <c r="P71" s="20">
        <f>+P27-P29+P68</f>
        <v>2978.3799999999974</v>
      </c>
      <c r="Q71" s="13"/>
      <c r="R71" s="22">
        <f>IF(P$12=0,0,P71/P$12)</f>
        <v>5.0933661811826993E-2</v>
      </c>
      <c r="S71" s="13"/>
      <c r="T71" s="20">
        <f>+T27-T29+T68</f>
        <v>67192.799999999988</v>
      </c>
      <c r="U71" s="13"/>
      <c r="V71" s="22">
        <f>IF(T$12=0,0,T71/T$12)</f>
        <v>1.2829874815121165</v>
      </c>
      <c r="W71" s="15"/>
      <c r="X71" s="20">
        <f>+P71-T71</f>
        <v>-64214.419999999991</v>
      </c>
      <c r="Y71" s="15"/>
      <c r="Z71" s="22">
        <f>IF(T71=0,0,X71/T71)</f>
        <v>-0.95567411984617401</v>
      </c>
    </row>
    <row r="72" spans="1:26" x14ac:dyDescent="0.3">
      <c r="A72" s="9"/>
      <c r="B72" s="10"/>
      <c r="C72" s="9"/>
      <c r="D72" s="3"/>
      <c r="E72" s="3"/>
      <c r="F72" s="6"/>
      <c r="G72" s="3"/>
      <c r="H72" s="3"/>
      <c r="I72" s="3"/>
      <c r="J72" s="6"/>
      <c r="K72" s="3"/>
      <c r="L72" s="3"/>
      <c r="M72" s="3"/>
      <c r="N72" s="6"/>
      <c r="P72" s="3"/>
      <c r="Q72" s="3"/>
      <c r="R72" s="6"/>
      <c r="S72" s="3"/>
      <c r="T72" s="3"/>
      <c r="U72" s="3"/>
      <c r="V72" s="6"/>
      <c r="W72" s="3"/>
      <c r="X72" s="3"/>
      <c r="Y72" s="3"/>
      <c r="Z72" s="6"/>
    </row>
    <row r="73" spans="1:26" s="23" customFormat="1" x14ac:dyDescent="0.3">
      <c r="A73" s="51"/>
      <c r="B73" s="10" t="s">
        <v>127</v>
      </c>
      <c r="C73" s="10"/>
      <c r="D73" s="4">
        <v>7568.52</v>
      </c>
      <c r="E73" s="4"/>
      <c r="F73" s="12">
        <f>IF(D$12=0,0,D73/D$12)</f>
        <v>0.13528774466264132</v>
      </c>
      <c r="G73" s="4"/>
      <c r="H73" s="4">
        <v>6510.77</v>
      </c>
      <c r="I73" s="4"/>
      <c r="J73" s="12">
        <f>IF(H$12=0,0,H73/H$12)</f>
        <v>0.13699884290700312</v>
      </c>
      <c r="K73" s="4"/>
      <c r="L73" s="4">
        <f>+D73-H73</f>
        <v>1057.75</v>
      </c>
      <c r="M73" s="4"/>
      <c r="N73" s="12">
        <f>IF(H73=0,0,L73/H73)</f>
        <v>0.16246158288497364</v>
      </c>
      <c r="O73" s="10"/>
      <c r="P73" s="4">
        <v>8738.2000000000007</v>
      </c>
      <c r="Q73" s="4"/>
      <c r="R73" s="12">
        <f>IF(P$12=0,0,P73/P$12)</f>
        <v>0.14943308900949748</v>
      </c>
      <c r="S73" s="4"/>
      <c r="T73" s="4">
        <v>8842.34</v>
      </c>
      <c r="U73" s="4"/>
      <c r="V73" s="12">
        <f>IF(T$12=0,0,T73/T$12)</f>
        <v>0.16883671356564767</v>
      </c>
      <c r="W73" s="4"/>
      <c r="X73" s="4">
        <f>+P73-T73</f>
        <v>-104.13999999999942</v>
      </c>
      <c r="Y73" s="4"/>
      <c r="Z73" s="12">
        <f>IF(T73=0,0,X73/T73)</f>
        <v>-1.1777425432634282E-2</v>
      </c>
    </row>
    <row r="74" spans="1:26" x14ac:dyDescent="0.3">
      <c r="A74" s="9"/>
      <c r="B74" s="10"/>
      <c r="C74" s="10"/>
      <c r="D74" s="3"/>
      <c r="E74" s="3"/>
      <c r="F74" s="6"/>
      <c r="G74" s="3"/>
      <c r="H74" s="3"/>
      <c r="I74" s="3"/>
      <c r="J74" s="6"/>
      <c r="K74" s="3"/>
      <c r="L74" s="3"/>
      <c r="M74" s="3"/>
      <c r="N74" s="6"/>
      <c r="O74" s="10"/>
      <c r="P74" s="3"/>
      <c r="Q74" s="3"/>
      <c r="R74" s="6"/>
      <c r="S74" s="3"/>
      <c r="T74" s="3"/>
      <c r="U74" s="3"/>
      <c r="V74" s="6"/>
      <c r="W74" s="3"/>
      <c r="X74" s="3"/>
      <c r="Y74" s="3"/>
      <c r="Z74" s="6"/>
    </row>
    <row r="75" spans="1:26" s="23" customFormat="1" ht="15" thickBot="1" x14ac:dyDescent="0.35">
      <c r="A75" s="10"/>
      <c r="B75" s="25" t="s">
        <v>125</v>
      </c>
      <c r="C75" s="25"/>
      <c r="D75" s="33">
        <f>+D71-D73</f>
        <v>30536.940000000006</v>
      </c>
      <c r="E75" s="13"/>
      <c r="F75" s="36">
        <f>IF(D$12=0,0,D75/D$12)</f>
        <v>0.54584961676766386</v>
      </c>
      <c r="G75" s="13"/>
      <c r="H75" s="33">
        <f>+H71-H73</f>
        <v>98206.11</v>
      </c>
      <c r="I75" s="13"/>
      <c r="J75" s="36">
        <f>IF(H$12=0,0,H75/H$12)</f>
        <v>2.0664412099333669</v>
      </c>
      <c r="K75" s="15"/>
      <c r="L75" s="33">
        <f>D75-H75</f>
        <v>-67669.17</v>
      </c>
      <c r="M75" s="15"/>
      <c r="N75" s="36">
        <f>IF(H75=0,0,L75/H75)</f>
        <v>-0.68905254469401134</v>
      </c>
      <c r="O75" s="26"/>
      <c r="P75" s="33">
        <f>+P71-P73</f>
        <v>-5759.8200000000033</v>
      </c>
      <c r="Q75" s="13"/>
      <c r="R75" s="36">
        <f>IF(P$12=0,0,P75/P$12)</f>
        <v>-9.8499427197670478E-2</v>
      </c>
      <c r="S75" s="13"/>
      <c r="T75" s="33">
        <f>+T71-T73</f>
        <v>58350.459999999992</v>
      </c>
      <c r="U75" s="13"/>
      <c r="V75" s="36">
        <f>IF(T$12=0,0,T75/T$12)</f>
        <v>1.1141507679464691</v>
      </c>
      <c r="W75" s="15"/>
      <c r="X75" s="33">
        <f>P75-T75</f>
        <v>-64110.28</v>
      </c>
      <c r="Y75" s="15"/>
      <c r="Z75" s="36">
        <f>IF(T75=0,0,X75/T75)</f>
        <v>-1.098710789940645</v>
      </c>
    </row>
    <row r="76" spans="1:26" ht="15" thickTop="1" x14ac:dyDescent="0.3">
      <c r="A76" s="9"/>
      <c r="B76" s="9"/>
      <c r="C76" s="9"/>
      <c r="D76" s="3"/>
      <c r="E76" s="3"/>
      <c r="F76" s="6"/>
      <c r="G76" s="3"/>
      <c r="H76" s="3"/>
      <c r="I76" s="3"/>
      <c r="J76" s="6"/>
      <c r="K76" s="3"/>
      <c r="L76" s="3"/>
      <c r="M76" s="3"/>
      <c r="N76" s="6"/>
      <c r="P76" s="3"/>
      <c r="Q76" s="3"/>
      <c r="R76" s="6"/>
      <c r="S76" s="3"/>
      <c r="T76" s="3"/>
      <c r="U76" s="3"/>
      <c r="V76" s="6"/>
      <c r="W76" s="3"/>
      <c r="X76" s="3"/>
      <c r="Y76" s="3"/>
      <c r="Z76" s="6"/>
    </row>
    <row r="77" spans="1:26" x14ac:dyDescent="0.3">
      <c r="A77" s="9"/>
      <c r="B77" s="9"/>
      <c r="C77" s="9"/>
      <c r="D77" s="3"/>
      <c r="E77" s="3"/>
      <c r="F77" s="6"/>
      <c r="G77" s="3"/>
      <c r="H77" s="3"/>
      <c r="I77" s="3"/>
      <c r="J77" s="6"/>
      <c r="K77" s="3"/>
      <c r="L77" s="3"/>
      <c r="M77" s="3"/>
      <c r="N77" s="6"/>
      <c r="P77" s="3"/>
      <c r="Q77" s="3"/>
      <c r="R77" s="6"/>
      <c r="S77" s="3"/>
      <c r="T77" s="3"/>
      <c r="U77" s="3"/>
      <c r="V77" s="6"/>
      <c r="W77" s="3"/>
      <c r="X77" s="3"/>
      <c r="Y77" s="3"/>
      <c r="Z77" s="6"/>
    </row>
    <row r="78" spans="1:26" s="23" customFormat="1" ht="15" thickBot="1" x14ac:dyDescent="0.35">
      <c r="A78" s="10"/>
      <c r="B78" s="25" t="s">
        <v>293</v>
      </c>
      <c r="C78" s="25"/>
      <c r="D78" s="30">
        <f>SUM(D75:D77)</f>
        <v>30536.940000000006</v>
      </c>
      <c r="E78" s="13"/>
      <c r="F78" s="31">
        <f>IF(D$12=0,0,D78/D$12)</f>
        <v>0.54584961676766386</v>
      </c>
      <c r="G78" s="13"/>
      <c r="H78" s="30">
        <f>SUM(H75:H77)</f>
        <v>98206.11</v>
      </c>
      <c r="I78" s="13"/>
      <c r="J78" s="31">
        <f>IF(H$12=0,0,H78/H$12)</f>
        <v>2.0664412099333669</v>
      </c>
      <c r="K78" s="15"/>
      <c r="L78" s="30">
        <f>+D78-H78</f>
        <v>-67669.17</v>
      </c>
      <c r="M78" s="15"/>
      <c r="N78" s="31">
        <f>IF(H78=0,0,L78/H78)</f>
        <v>-0.68905254469401134</v>
      </c>
      <c r="O78" s="26"/>
      <c r="P78" s="30">
        <f>SUM(P75:P77)</f>
        <v>-5759.8200000000033</v>
      </c>
      <c r="Q78" s="13"/>
      <c r="R78" s="31">
        <f>IF(P$12=0,0,P78/P$12)</f>
        <v>-9.8499427197670478E-2</v>
      </c>
      <c r="S78" s="13"/>
      <c r="T78" s="30">
        <f>SUM(T75:T77)</f>
        <v>58350.459999999992</v>
      </c>
      <c r="U78" s="13"/>
      <c r="V78" s="31">
        <f>IF(T$12=0,0,T78/T$12)</f>
        <v>1.1141507679464691</v>
      </c>
      <c r="W78" s="15"/>
      <c r="X78" s="30">
        <f>+P78-T78</f>
        <v>-64110.28</v>
      </c>
      <c r="Y78" s="15"/>
      <c r="Z78" s="31">
        <f>IF(T78=0,0,X78/T78)</f>
        <v>-1.098710789940645</v>
      </c>
    </row>
    <row r="79" spans="1:26" ht="15" thickTop="1" x14ac:dyDescent="0.3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3">
      <c r="A80" s="9"/>
      <c r="B80" s="59">
        <v>44470.840542939812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3">
      <c r="A81" s="9"/>
      <c r="B81" s="58" t="s">
        <v>56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52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343373.57</v>
      </c>
      <c r="E12" s="4"/>
      <c r="F12" s="12"/>
      <c r="G12" s="4"/>
      <c r="H12" s="4">
        <f>SUM(OSRRefH13x_0)</f>
        <v>491671.12000000005</v>
      </c>
      <c r="I12" s="4"/>
      <c r="J12" s="12"/>
      <c r="K12" s="4"/>
      <c r="L12" s="4">
        <f t="shared" ref="L12:L31" si="0">+D12-H12</f>
        <v>-148297.55000000005</v>
      </c>
      <c r="M12" s="4"/>
      <c r="N12" s="12">
        <f t="shared" ref="N12:N31" si="1">IF(H12=0,0,L12/H12)</f>
        <v>-0.30161940363713052</v>
      </c>
      <c r="O12" s="10"/>
      <c r="P12" s="4">
        <f>SUM(OSRRefP13x_0)</f>
        <v>438679.86999999994</v>
      </c>
      <c r="Q12" s="4"/>
      <c r="R12" s="12"/>
      <c r="S12" s="4"/>
      <c r="T12" s="4">
        <f>SUM(OSRRefT13x_0)</f>
        <v>699638.19000000018</v>
      </c>
      <c r="U12" s="4"/>
      <c r="V12" s="12"/>
      <c r="W12" s="4"/>
      <c r="X12" s="4">
        <f t="shared" ref="X12:X31" si="2">+P12-T12</f>
        <v>-260958.32000000024</v>
      </c>
      <c r="Y12" s="4"/>
      <c r="Z12" s="12">
        <f t="shared" ref="Z12:Z31" si="3">IF(T12=0,0,X12/T12)</f>
        <v>-0.37299038807472784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--300209.47</f>
        <v>300209.46999999997</v>
      </c>
      <c r="E13" s="2"/>
      <c r="F13" s="19"/>
      <c r="G13" s="2"/>
      <c r="H13" s="2">
        <f>-803.28</f>
        <v>-803.28</v>
      </c>
      <c r="I13" s="2"/>
      <c r="J13" s="19"/>
      <c r="K13" s="2"/>
      <c r="L13" s="2">
        <f t="shared" si="0"/>
        <v>301012.75</v>
      </c>
      <c r="M13" s="2"/>
      <c r="N13" s="19">
        <f t="shared" si="1"/>
        <v>-374.72954635992431</v>
      </c>
      <c r="O13" s="11"/>
      <c r="P13" s="2">
        <f>--382165.73</f>
        <v>382165.73</v>
      </c>
      <c r="Q13" s="2"/>
      <c r="R13" s="19"/>
      <c r="S13" s="2"/>
      <c r="T13" s="2">
        <f>-1174.19</f>
        <v>-1174.19</v>
      </c>
      <c r="U13" s="2"/>
      <c r="V13" s="19"/>
      <c r="W13" s="2"/>
      <c r="X13" s="2">
        <f t="shared" si="2"/>
        <v>383339.92</v>
      </c>
      <c r="Y13" s="2"/>
      <c r="Z13" s="19">
        <f t="shared" si="3"/>
        <v>-326.47179757960805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--16305.86</f>
        <v>16305.86</v>
      </c>
      <c r="I14" s="2"/>
      <c r="J14" s="19"/>
      <c r="K14" s="2"/>
      <c r="L14" s="2">
        <f t="shared" si="0"/>
        <v>-16305.86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--37863.02</f>
        <v>37863.019999999997</v>
      </c>
      <c r="U14" s="2"/>
      <c r="V14" s="19"/>
      <c r="W14" s="2"/>
      <c r="X14" s="2">
        <f t="shared" si="2"/>
        <v>-37863.019999999997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--403983.14</f>
        <v>403983.14</v>
      </c>
      <c r="I15" s="2"/>
      <c r="J15" s="19"/>
      <c r="K15" s="2"/>
      <c r="L15" s="2">
        <f t="shared" si="0"/>
        <v>-403983.14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--541212.01</f>
        <v>541212.01</v>
      </c>
      <c r="U15" s="2"/>
      <c r="V15" s="19"/>
      <c r="W15" s="2"/>
      <c r="X15" s="2">
        <f t="shared" si="2"/>
        <v>-541212.01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--42925.21</f>
        <v>42925.21</v>
      </c>
      <c r="I16" s="2"/>
      <c r="J16" s="19"/>
      <c r="K16" s="2"/>
      <c r="L16" s="2">
        <f t="shared" si="0"/>
        <v>-42925.21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--49715.36</f>
        <v>49715.360000000001</v>
      </c>
      <c r="U16" s="2"/>
      <c r="V16" s="19"/>
      <c r="W16" s="2"/>
      <c r="X16" s="2">
        <f t="shared" si="2"/>
        <v>-49715.360000000001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--129</f>
        <v>129</v>
      </c>
      <c r="I17" s="2"/>
      <c r="J17" s="19"/>
      <c r="K17" s="2"/>
      <c r="L17" s="2">
        <f t="shared" si="0"/>
        <v>-129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--1308.27</f>
        <v>1308.27</v>
      </c>
      <c r="I18" s="2"/>
      <c r="J18" s="19"/>
      <c r="K18" s="2"/>
      <c r="L18" s="2">
        <f t="shared" si="0"/>
        <v>-1308.27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--27267.48</f>
        <v>27267.48</v>
      </c>
      <c r="U18" s="2"/>
      <c r="V18" s="19"/>
      <c r="W18" s="2"/>
      <c r="X18" s="2">
        <f t="shared" si="2"/>
        <v>-27267.48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--75809.9</f>
        <v>75809.899999999994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75809.899999999994</v>
      </c>
      <c r="M19" s="2"/>
      <c r="N19" s="19">
        <f t="shared" si="1"/>
        <v>0</v>
      </c>
      <c r="O19" s="11"/>
      <c r="P19" s="2">
        <f>--116777.88</f>
        <v>116777.88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116777.88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--2349.29</f>
        <v>2349.29</v>
      </c>
      <c r="I20" s="2"/>
      <c r="J20" s="19"/>
      <c r="K20" s="2"/>
      <c r="L20" s="2">
        <f t="shared" si="0"/>
        <v>-2349.29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--2639.27</f>
        <v>2639.27</v>
      </c>
      <c r="U20" s="2"/>
      <c r="V20" s="19"/>
      <c r="W20" s="2"/>
      <c r="X20" s="2">
        <f t="shared" si="2"/>
        <v>-2639.27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--46190.39</f>
        <v>46190.39</v>
      </c>
      <c r="I21" s="2"/>
      <c r="J21" s="19"/>
      <c r="K21" s="2"/>
      <c r="L21" s="2">
        <f t="shared" si="0"/>
        <v>-46190.39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--82067.38</f>
        <v>82067.38</v>
      </c>
      <c r="U21" s="2"/>
      <c r="V21" s="19"/>
      <c r="W21" s="2"/>
      <c r="X21" s="2">
        <f t="shared" si="2"/>
        <v>-82067.38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--1759.83</f>
        <v>1759.83</v>
      </c>
      <c r="I22" s="2"/>
      <c r="J22" s="19"/>
      <c r="K22" s="2"/>
      <c r="L22" s="2">
        <f t="shared" si="0"/>
        <v>-1759.83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--3119.68</f>
        <v>3119.68</v>
      </c>
      <c r="U22" s="2"/>
      <c r="V22" s="19"/>
      <c r="W22" s="2"/>
      <c r="X22" s="2">
        <f t="shared" si="2"/>
        <v>-3119.68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--4610.75</f>
        <v>4610.75</v>
      </c>
      <c r="I23" s="2"/>
      <c r="J23" s="19"/>
      <c r="K23" s="2"/>
      <c r="L23" s="2">
        <f t="shared" si="0"/>
        <v>-4610.75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--10798.49</f>
        <v>10798.49</v>
      </c>
      <c r="U23" s="2"/>
      <c r="V23" s="19"/>
      <c r="W23" s="2"/>
      <c r="X23" s="2">
        <f t="shared" si="2"/>
        <v>-10798.49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--257.95</f>
        <v>257.95</v>
      </c>
      <c r="I24" s="2"/>
      <c r="J24" s="19"/>
      <c r="K24" s="2"/>
      <c r="L24" s="2">
        <f t="shared" si="0"/>
        <v>-257.95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--412.9</f>
        <v>412.9</v>
      </c>
      <c r="U24" s="2"/>
      <c r="V24" s="19"/>
      <c r="W24" s="2"/>
      <c r="X24" s="2">
        <f t="shared" si="2"/>
        <v>-412.9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-32397.97</f>
        <v>-32397.97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-32397.97</v>
      </c>
      <c r="M25" s="2"/>
      <c r="N25" s="19">
        <f t="shared" si="1"/>
        <v>0</v>
      </c>
      <c r="O25" s="11"/>
      <c r="P25" s="2">
        <f>-59616.91</f>
        <v>-59616.91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-59616.91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29" si="8">0</f>
        <v>0</v>
      </c>
      <c r="E26" s="2"/>
      <c r="F26" s="19"/>
      <c r="G26" s="2"/>
      <c r="H26" s="2">
        <f>-7424.23</f>
        <v>-7424.23</v>
      </c>
      <c r="I26" s="2"/>
      <c r="J26" s="19"/>
      <c r="K26" s="2"/>
      <c r="L26" s="2">
        <f t="shared" si="0"/>
        <v>7424.23</v>
      </c>
      <c r="M26" s="2"/>
      <c r="N26" s="19">
        <f t="shared" si="1"/>
        <v>-1</v>
      </c>
      <c r="O26" s="11"/>
      <c r="P26" s="2">
        <f t="shared" ref="P26:P29" si="9">0</f>
        <v>0</v>
      </c>
      <c r="Q26" s="2"/>
      <c r="R26" s="19"/>
      <c r="S26" s="2"/>
      <c r="T26" s="2">
        <f>-13716.22</f>
        <v>-13716.22</v>
      </c>
      <c r="U26" s="2"/>
      <c r="V26" s="19"/>
      <c r="W26" s="2"/>
      <c r="X26" s="2">
        <f t="shared" si="2"/>
        <v>13716.22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-15442</f>
        <v>-15442</v>
      </c>
      <c r="I27" s="2"/>
      <c r="J27" s="19"/>
      <c r="K27" s="2"/>
      <c r="L27" s="2">
        <f t="shared" si="0"/>
        <v>15442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-33649</f>
        <v>-33649</v>
      </c>
      <c r="U27" s="2"/>
      <c r="V27" s="19"/>
      <c r="W27" s="2"/>
      <c r="X27" s="2">
        <f t="shared" si="2"/>
        <v>33649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-699.9</f>
        <v>-699.9</v>
      </c>
      <c r="I28" s="2"/>
      <c r="J28" s="19"/>
      <c r="K28" s="2"/>
      <c r="L28" s="2">
        <f t="shared" si="0"/>
        <v>699.9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-1518.83</f>
        <v>-1518.83</v>
      </c>
      <c r="U28" s="2"/>
      <c r="V28" s="19"/>
      <c r="W28" s="2"/>
      <c r="X28" s="2">
        <f t="shared" si="2"/>
        <v>1518.83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si="8"/>
        <v>0</v>
      </c>
      <c r="E29" s="2"/>
      <c r="F29" s="19"/>
      <c r="G29" s="2"/>
      <c r="H29" s="2">
        <f>-153.96</f>
        <v>-153.96</v>
      </c>
      <c r="I29" s="2"/>
      <c r="J29" s="19"/>
      <c r="K29" s="2"/>
      <c r="L29" s="2">
        <f t="shared" si="0"/>
        <v>153.96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-153.96</f>
        <v>-153.96</v>
      </c>
      <c r="U29" s="2"/>
      <c r="V29" s="19"/>
      <c r="W29" s="2"/>
      <c r="X29" s="2">
        <f t="shared" si="2"/>
        <v>153.96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"4300", " - ", "NON-TAX RETURNS")</f>
        <v xml:space="preserve">          4300 - NON-TAX RETURNS</v>
      </c>
      <c r="C30" s="11"/>
      <c r="D30" s="2">
        <f>-247.83</f>
        <v>-247.83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-247.83</v>
      </c>
      <c r="M30" s="2"/>
      <c r="N30" s="19">
        <f t="shared" si="1"/>
        <v>0</v>
      </c>
      <c r="O30" s="11"/>
      <c r="P30" s="2">
        <f>-646.83</f>
        <v>-646.83000000000004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-646.83000000000004</v>
      </c>
      <c r="Y30" s="2"/>
      <c r="Z30" s="19">
        <f t="shared" si="3"/>
        <v>0</v>
      </c>
    </row>
    <row r="31" spans="1:26" s="24" customFormat="1" hidden="1" outlineLevel="1" x14ac:dyDescent="0.3">
      <c r="A31" s="44"/>
      <c r="B31" s="11" t="str">
        <f>CONCATENATE("          ", "4381", " - ", "SALES RETURN NON TAXABLE-ELECT")</f>
        <v xml:space="preserve">          4381 - SALES RETURN NON TAXABLE-ELECT</v>
      </c>
      <c r="C31" s="11"/>
      <c r="D31" s="2">
        <f>0</f>
        <v>0</v>
      </c>
      <c r="E31" s="2"/>
      <c r="F31" s="19"/>
      <c r="G31" s="2"/>
      <c r="H31" s="2">
        <f>-3625.2</f>
        <v>-3625.2</v>
      </c>
      <c r="I31" s="2"/>
      <c r="J31" s="19"/>
      <c r="K31" s="2"/>
      <c r="L31" s="2">
        <f t="shared" si="0"/>
        <v>3625.2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f>-5374.2</f>
        <v>-5374.2</v>
      </c>
      <c r="U31" s="2"/>
      <c r="V31" s="19"/>
      <c r="W31" s="2"/>
      <c r="X31" s="2">
        <f t="shared" si="2"/>
        <v>5374.2</v>
      </c>
      <c r="Y31" s="2"/>
      <c r="Z31" s="19">
        <f t="shared" si="3"/>
        <v>-1</v>
      </c>
    </row>
    <row r="32" spans="1:26" x14ac:dyDescent="0.3">
      <c r="A32" s="9"/>
      <c r="B32" s="10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collapsed="1" x14ac:dyDescent="0.3">
      <c r="A33" s="10"/>
      <c r="B33" s="26" t="s">
        <v>256</v>
      </c>
      <c r="C33" s="10"/>
      <c r="D33" s="4">
        <f>SUM(OSRRefD16x_0)</f>
        <v>291793.13</v>
      </c>
      <c r="E33" s="4"/>
      <c r="F33" s="12">
        <f t="shared" ref="F33:F44" si="10">IF(D$12=0,0,D33/D$12)</f>
        <v>0.84978331325850154</v>
      </c>
      <c r="G33" s="4"/>
      <c r="H33" s="4">
        <f>SUM(OSRRefH16x_0)</f>
        <v>478464</v>
      </c>
      <c r="I33" s="4"/>
      <c r="J33" s="12">
        <f t="shared" ref="J33:J44" si="11">IF(H$12=0,0,H33/H$12)</f>
        <v>0.97313830432017234</v>
      </c>
      <c r="K33" s="4"/>
      <c r="L33" s="4">
        <f t="shared" ref="L33:L44" si="12">+D33-H33</f>
        <v>-186670.87</v>
      </c>
      <c r="M33" s="4"/>
      <c r="N33" s="12">
        <f t="shared" ref="N33:N44" si="13">IF(H33=0,0,L33/H33)</f>
        <v>-0.39014611339620114</v>
      </c>
      <c r="O33" s="10"/>
      <c r="P33" s="4">
        <f>SUM(OSRRefP16x_0)</f>
        <v>374164.6</v>
      </c>
      <c r="Q33" s="4"/>
      <c r="R33" s="12">
        <f t="shared" ref="R33:R44" si="14">IF(P$12=0,0,P33/P$12)</f>
        <v>0.85293314233908213</v>
      </c>
      <c r="S33" s="4"/>
      <c r="T33" s="4">
        <f>SUM(OSRRefT16x_0)</f>
        <v>662420</v>
      </c>
      <c r="U33" s="4"/>
      <c r="V33" s="12">
        <f t="shared" ref="V33:V44" si="15">IF(T$12=0,0,T33/T$12)</f>
        <v>0.94680366147536887</v>
      </c>
      <c r="W33" s="4"/>
      <c r="X33" s="4">
        <f t="shared" ref="X33:X44" si="16">+P33-T33</f>
        <v>-288255.40000000002</v>
      </c>
      <c r="Y33" s="4"/>
      <c r="Z33" s="12">
        <f t="shared" ref="Z33:Z44" si="17">IF(T33=0,0,X33/T33)</f>
        <v>-0.43515503758944479</v>
      </c>
    </row>
    <row r="34" spans="1:26" s="24" customFormat="1" hidden="1" outlineLevel="1" x14ac:dyDescent="0.3">
      <c r="A34" s="44"/>
      <c r="B34" s="11" t="str">
        <f>CONCATENATE("          ", "5000", " - ", "PURCHASES @ COST")</f>
        <v xml:space="preserve">          5000 - PURCHASES @ COST</v>
      </c>
      <c r="C34" s="11"/>
      <c r="D34" s="2">
        <v>285773.33</v>
      </c>
      <c r="E34" s="2"/>
      <c r="F34" s="19">
        <f t="shared" si="10"/>
        <v>0.83225196977158145</v>
      </c>
      <c r="G34" s="2"/>
      <c r="H34" s="2"/>
      <c r="I34" s="2"/>
      <c r="J34" s="19">
        <f t="shared" si="11"/>
        <v>0</v>
      </c>
      <c r="K34" s="2"/>
      <c r="L34" s="2">
        <f t="shared" si="12"/>
        <v>285773.33</v>
      </c>
      <c r="M34" s="2"/>
      <c r="N34" s="19">
        <f t="shared" si="13"/>
        <v>0</v>
      </c>
      <c r="O34" s="11"/>
      <c r="P34" s="2">
        <v>383135.87</v>
      </c>
      <c r="Q34" s="2"/>
      <c r="R34" s="19">
        <f t="shared" si="14"/>
        <v>0.87338375020490466</v>
      </c>
      <c r="S34" s="2"/>
      <c r="T34" s="2"/>
      <c r="U34" s="2"/>
      <c r="V34" s="19">
        <f t="shared" si="15"/>
        <v>0</v>
      </c>
      <c r="W34" s="2"/>
      <c r="X34" s="2">
        <f t="shared" si="16"/>
        <v>383135.87</v>
      </c>
      <c r="Y34" s="2"/>
      <c r="Z34" s="19">
        <f t="shared" si="17"/>
        <v>0</v>
      </c>
    </row>
    <row r="35" spans="1:26" s="24" customFormat="1" hidden="1" outlineLevel="1" x14ac:dyDescent="0.3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0</v>
      </c>
      <c r="E35" s="2"/>
      <c r="F35" s="19">
        <f t="shared" si="10"/>
        <v>0</v>
      </c>
      <c r="G35" s="2"/>
      <c r="H35" s="2">
        <v>745.55</v>
      </c>
      <c r="I35" s="2"/>
      <c r="J35" s="19">
        <f t="shared" si="11"/>
        <v>1.5163591467402028E-3</v>
      </c>
      <c r="K35" s="2"/>
      <c r="L35" s="2">
        <f t="shared" si="12"/>
        <v>-745.55</v>
      </c>
      <c r="M35" s="2"/>
      <c r="N35" s="19">
        <f t="shared" si="13"/>
        <v>-1</v>
      </c>
      <c r="O35" s="11"/>
      <c r="P35" s="2">
        <v>0</v>
      </c>
      <c r="Q35" s="2"/>
      <c r="R35" s="19">
        <f t="shared" si="14"/>
        <v>0</v>
      </c>
      <c r="S35" s="2"/>
      <c r="T35" s="2">
        <v>7422.47</v>
      </c>
      <c r="U35" s="2"/>
      <c r="V35" s="19">
        <f t="shared" si="15"/>
        <v>1.0609012066651191E-2</v>
      </c>
      <c r="W35" s="2"/>
      <c r="X35" s="2">
        <f t="shared" si="16"/>
        <v>-7422.47</v>
      </c>
      <c r="Y35" s="2"/>
      <c r="Z35" s="19">
        <f t="shared" si="17"/>
        <v>-1</v>
      </c>
    </row>
    <row r="36" spans="1:26" s="24" customFormat="1" hidden="1" outlineLevel="1" x14ac:dyDescent="0.3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-23501.200000000001</v>
      </c>
      <c r="E36" s="2"/>
      <c r="F36" s="19">
        <f t="shared" si="10"/>
        <v>-6.8442076074754388E-2</v>
      </c>
      <c r="G36" s="2"/>
      <c r="H36" s="2">
        <v>56751.23</v>
      </c>
      <c r="I36" s="2"/>
      <c r="J36" s="19">
        <f t="shared" si="11"/>
        <v>0.11542518503018846</v>
      </c>
      <c r="K36" s="2"/>
      <c r="L36" s="2">
        <f t="shared" si="12"/>
        <v>-80252.430000000008</v>
      </c>
      <c r="M36" s="2"/>
      <c r="N36" s="19">
        <f t="shared" si="13"/>
        <v>-1.4141090862700245</v>
      </c>
      <c r="O36" s="11"/>
      <c r="P36" s="2">
        <v>-34403.82</v>
      </c>
      <c r="Q36" s="2"/>
      <c r="R36" s="19">
        <f t="shared" si="14"/>
        <v>-7.842580057297821E-2</v>
      </c>
      <c r="S36" s="2"/>
      <c r="T36" s="2">
        <v>243223.8</v>
      </c>
      <c r="U36" s="2"/>
      <c r="V36" s="19">
        <f t="shared" si="15"/>
        <v>0.34764225777898133</v>
      </c>
      <c r="W36" s="2"/>
      <c r="X36" s="2">
        <f t="shared" si="16"/>
        <v>-277627.62</v>
      </c>
      <c r="Y36" s="2"/>
      <c r="Z36" s="19">
        <f t="shared" si="17"/>
        <v>-1.1414492331753718</v>
      </c>
    </row>
    <row r="37" spans="1:26" s="24" customFormat="1" hidden="1" outlineLevel="1" x14ac:dyDescent="0.3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0</v>
      </c>
      <c r="E37" s="2"/>
      <c r="F37" s="19">
        <f t="shared" si="10"/>
        <v>0</v>
      </c>
      <c r="G37" s="2"/>
      <c r="H37" s="2">
        <v>7340.55</v>
      </c>
      <c r="I37" s="2"/>
      <c r="J37" s="19">
        <f t="shared" si="11"/>
        <v>1.4929796974855873E-2</v>
      </c>
      <c r="K37" s="2"/>
      <c r="L37" s="2">
        <f t="shared" si="12"/>
        <v>-7340.55</v>
      </c>
      <c r="M37" s="2"/>
      <c r="N37" s="19">
        <f t="shared" si="13"/>
        <v>-1</v>
      </c>
      <c r="O37" s="11"/>
      <c r="P37" s="2">
        <v>0</v>
      </c>
      <c r="Q37" s="2"/>
      <c r="R37" s="19">
        <f t="shared" si="14"/>
        <v>0</v>
      </c>
      <c r="S37" s="2"/>
      <c r="T37" s="2">
        <v>37278.85</v>
      </c>
      <c r="U37" s="2"/>
      <c r="V37" s="19">
        <f t="shared" si="15"/>
        <v>5.328304048125216E-2</v>
      </c>
      <c r="W37" s="2"/>
      <c r="X37" s="2">
        <f t="shared" si="16"/>
        <v>-37278.85</v>
      </c>
      <c r="Y37" s="2"/>
      <c r="Z37" s="19">
        <f t="shared" si="17"/>
        <v>-1</v>
      </c>
    </row>
    <row r="38" spans="1:26" s="24" customFormat="1" hidden="1" outlineLevel="1" x14ac:dyDescent="0.3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0</v>
      </c>
      <c r="E38" s="2"/>
      <c r="F38" s="19">
        <f t="shared" si="10"/>
        <v>0</v>
      </c>
      <c r="G38" s="2"/>
      <c r="H38" s="2">
        <v>2364.2199999999998</v>
      </c>
      <c r="I38" s="2"/>
      <c r="J38" s="19">
        <f t="shared" si="11"/>
        <v>4.8085394968897088E-3</v>
      </c>
      <c r="K38" s="2"/>
      <c r="L38" s="2">
        <f t="shared" si="12"/>
        <v>-2364.2199999999998</v>
      </c>
      <c r="M38" s="2"/>
      <c r="N38" s="19">
        <f t="shared" si="13"/>
        <v>-1</v>
      </c>
      <c r="O38" s="11"/>
      <c r="P38" s="2">
        <v>0</v>
      </c>
      <c r="Q38" s="2"/>
      <c r="R38" s="19">
        <f t="shared" si="14"/>
        <v>0</v>
      </c>
      <c r="S38" s="2"/>
      <c r="T38" s="2">
        <v>6228.56</v>
      </c>
      <c r="U38" s="2"/>
      <c r="V38" s="19">
        <f t="shared" si="15"/>
        <v>8.9025443279475616E-3</v>
      </c>
      <c r="W38" s="2"/>
      <c r="X38" s="2">
        <f t="shared" si="16"/>
        <v>-6228.56</v>
      </c>
      <c r="Y38" s="2"/>
      <c r="Z38" s="19">
        <f t="shared" si="17"/>
        <v>-1</v>
      </c>
    </row>
    <row r="39" spans="1:26" s="24" customFormat="1" hidden="1" outlineLevel="1" x14ac:dyDescent="0.3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0</v>
      </c>
      <c r="E39" s="2"/>
      <c r="F39" s="19">
        <f t="shared" si="10"/>
        <v>0</v>
      </c>
      <c r="G39" s="2"/>
      <c r="H39" s="2">
        <v>21649.96</v>
      </c>
      <c r="I39" s="2"/>
      <c r="J39" s="19">
        <f t="shared" si="11"/>
        <v>4.4033418110870526E-2</v>
      </c>
      <c r="K39" s="2"/>
      <c r="L39" s="2">
        <f t="shared" si="12"/>
        <v>-21649.96</v>
      </c>
      <c r="M39" s="2"/>
      <c r="N39" s="19">
        <f t="shared" si="13"/>
        <v>-1</v>
      </c>
      <c r="O39" s="11"/>
      <c r="P39" s="2">
        <v>0</v>
      </c>
      <c r="Q39" s="2"/>
      <c r="R39" s="19">
        <f t="shared" si="14"/>
        <v>0</v>
      </c>
      <c r="S39" s="2"/>
      <c r="T39" s="2">
        <v>21737.21</v>
      </c>
      <c r="U39" s="2"/>
      <c r="V39" s="19">
        <f t="shared" si="15"/>
        <v>3.1069215932880957E-2</v>
      </c>
      <c r="W39" s="2"/>
      <c r="X39" s="2">
        <f t="shared" si="16"/>
        <v>-21737.21</v>
      </c>
      <c r="Y39" s="2"/>
      <c r="Z39" s="19">
        <f t="shared" si="17"/>
        <v>-1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-285788.87</v>
      </c>
      <c r="E40" s="2"/>
      <c r="F40" s="19">
        <f t="shared" si="10"/>
        <v>-0.83229722660366667</v>
      </c>
      <c r="G40" s="2"/>
      <c r="H40" s="2">
        <v>-88875.63</v>
      </c>
      <c r="I40" s="2"/>
      <c r="J40" s="19">
        <f t="shared" si="11"/>
        <v>-0.18076235594232176</v>
      </c>
      <c r="K40" s="2"/>
      <c r="L40" s="2">
        <f t="shared" si="12"/>
        <v>-196913.24</v>
      </c>
      <c r="M40" s="2"/>
      <c r="N40" s="19">
        <f t="shared" si="13"/>
        <v>2.2156044350965498</v>
      </c>
      <c r="O40" s="11"/>
      <c r="P40" s="2">
        <v>-383171.52</v>
      </c>
      <c r="Q40" s="2"/>
      <c r="R40" s="19">
        <f t="shared" si="14"/>
        <v>-0.87346501675584087</v>
      </c>
      <c r="S40" s="2"/>
      <c r="T40" s="2">
        <v>-315932.40000000002</v>
      </c>
      <c r="U40" s="2"/>
      <c r="V40" s="19">
        <f t="shared" si="15"/>
        <v>-0.45156540125403954</v>
      </c>
      <c r="W40" s="2"/>
      <c r="X40" s="2">
        <f t="shared" si="16"/>
        <v>-67239.12</v>
      </c>
      <c r="Y40" s="2"/>
      <c r="Z40" s="19">
        <f t="shared" si="17"/>
        <v>0.21282755424894689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315294.33</v>
      </c>
      <c r="E41" s="2"/>
      <c r="F41" s="19">
        <f t="shared" si="10"/>
        <v>0.91822538933325593</v>
      </c>
      <c r="G41" s="2"/>
      <c r="H41" s="2">
        <v>478464</v>
      </c>
      <c r="I41" s="2"/>
      <c r="J41" s="19">
        <f t="shared" si="11"/>
        <v>0.97313830432017234</v>
      </c>
      <c r="K41" s="2"/>
      <c r="L41" s="2">
        <f t="shared" si="12"/>
        <v>-163169.66999999998</v>
      </c>
      <c r="M41" s="2"/>
      <c r="N41" s="19">
        <f t="shared" si="13"/>
        <v>-0.34102810242776882</v>
      </c>
      <c r="O41" s="11"/>
      <c r="P41" s="2">
        <v>408568.42</v>
      </c>
      <c r="Q41" s="2"/>
      <c r="R41" s="19">
        <f t="shared" si="14"/>
        <v>0.93135894291206034</v>
      </c>
      <c r="S41" s="2"/>
      <c r="T41" s="2">
        <v>662420</v>
      </c>
      <c r="U41" s="2"/>
      <c r="V41" s="19">
        <f t="shared" si="15"/>
        <v>0.94680366147536887</v>
      </c>
      <c r="W41" s="2"/>
      <c r="X41" s="2">
        <f t="shared" si="16"/>
        <v>-253851.58000000002</v>
      </c>
      <c r="Y41" s="2"/>
      <c r="Z41" s="19">
        <f t="shared" si="17"/>
        <v>-0.3832184716645029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15.54</v>
      </c>
      <c r="E42" s="2"/>
      <c r="F42" s="19">
        <f t="shared" si="10"/>
        <v>4.5256832085241734E-5</v>
      </c>
      <c r="G42" s="2"/>
      <c r="H42" s="2">
        <v>0</v>
      </c>
      <c r="I42" s="2"/>
      <c r="J42" s="19">
        <f t="shared" si="11"/>
        <v>0</v>
      </c>
      <c r="K42" s="2"/>
      <c r="L42" s="2">
        <f t="shared" si="12"/>
        <v>15.54</v>
      </c>
      <c r="M42" s="2"/>
      <c r="N42" s="19">
        <f t="shared" si="13"/>
        <v>0</v>
      </c>
      <c r="O42" s="11"/>
      <c r="P42" s="2">
        <v>35.65</v>
      </c>
      <c r="Q42" s="2"/>
      <c r="R42" s="19">
        <f t="shared" si="14"/>
        <v>8.1266550936107476E-5</v>
      </c>
      <c r="S42" s="2"/>
      <c r="T42" s="2">
        <v>0</v>
      </c>
      <c r="U42" s="2"/>
      <c r="V42" s="19">
        <f t="shared" si="15"/>
        <v>0</v>
      </c>
      <c r="W42" s="2"/>
      <c r="X42" s="2">
        <f t="shared" si="16"/>
        <v>35.65</v>
      </c>
      <c r="Y42" s="2"/>
      <c r="Z42" s="19">
        <f t="shared" si="17"/>
        <v>0</v>
      </c>
    </row>
    <row r="43" spans="1:26" s="24" customFormat="1" hidden="1" outlineLevel="1" x14ac:dyDescent="0.3">
      <c r="A43" s="44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0</v>
      </c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>
        <v>0</v>
      </c>
      <c r="Q43" s="2"/>
      <c r="R43" s="19">
        <f t="shared" si="14"/>
        <v>0</v>
      </c>
      <c r="S43" s="2"/>
      <c r="T43" s="2">
        <v>17.39</v>
      </c>
      <c r="U43" s="2"/>
      <c r="V43" s="19">
        <f t="shared" si="15"/>
        <v>2.4855704346270742E-5</v>
      </c>
      <c r="W43" s="2"/>
      <c r="X43" s="2">
        <f t="shared" si="16"/>
        <v>-17.39</v>
      </c>
      <c r="Y43" s="2"/>
      <c r="Z43" s="19">
        <f t="shared" si="17"/>
        <v>-1</v>
      </c>
    </row>
    <row r="44" spans="1:26" s="24" customFormat="1" hidden="1" outlineLevel="1" x14ac:dyDescent="0.3">
      <c r="A44" s="44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19">
        <f t="shared" si="10"/>
        <v>0</v>
      </c>
      <c r="G44" s="2"/>
      <c r="H44" s="2">
        <v>24.12</v>
      </c>
      <c r="I44" s="2"/>
      <c r="J44" s="19">
        <f t="shared" si="11"/>
        <v>4.905718277697498E-5</v>
      </c>
      <c r="K44" s="2"/>
      <c r="L44" s="2">
        <f t="shared" si="12"/>
        <v>-24.12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24.12</v>
      </c>
      <c r="U44" s="2"/>
      <c r="V44" s="19">
        <f t="shared" si="15"/>
        <v>3.4474961979991395E-5</v>
      </c>
      <c r="W44" s="2"/>
      <c r="X44" s="2">
        <f t="shared" si="16"/>
        <v>-24.12</v>
      </c>
      <c r="Y44" s="2"/>
      <c r="Z44" s="19">
        <f t="shared" si="17"/>
        <v>-1</v>
      </c>
    </row>
    <row r="45" spans="1:26" x14ac:dyDescent="0.3">
      <c r="A45" s="9"/>
      <c r="B45" s="10"/>
      <c r="C45" s="10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O45" s="10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x14ac:dyDescent="0.3">
      <c r="A46" s="10"/>
      <c r="B46" s="25" t="s">
        <v>107</v>
      </c>
      <c r="C46" s="25"/>
      <c r="D46" s="20">
        <f>D12-D33</f>
        <v>51580.44</v>
      </c>
      <c r="E46" s="13"/>
      <c r="F46" s="22">
        <f>IF(D$12=0,0,D46/D$12)</f>
        <v>0.15021668674149849</v>
      </c>
      <c r="G46" s="13"/>
      <c r="H46" s="20">
        <f>H12-H33</f>
        <v>13207.120000000054</v>
      </c>
      <c r="I46" s="13"/>
      <c r="J46" s="22">
        <f>IF(H$12=0,0,H46/H$12)</f>
        <v>2.6861695679827709E-2</v>
      </c>
      <c r="K46" s="15"/>
      <c r="L46" s="20">
        <f>+D46-H46</f>
        <v>38373.319999999949</v>
      </c>
      <c r="M46" s="15"/>
      <c r="N46" s="22">
        <f>IF(H46=0,0,L46/H46)</f>
        <v>2.9055024865375487</v>
      </c>
      <c r="O46" s="26"/>
      <c r="P46" s="20">
        <f>P12-P33</f>
        <v>64515.26999999996</v>
      </c>
      <c r="Q46" s="13"/>
      <c r="R46" s="22">
        <f>IF(P$12=0,0,P46/P$12)</f>
        <v>0.1470668576609179</v>
      </c>
      <c r="S46" s="13"/>
      <c r="T46" s="20">
        <f>T12-T33</f>
        <v>37218.190000000177</v>
      </c>
      <c r="U46" s="13"/>
      <c r="V46" s="22">
        <f>IF(T$12=0,0,T46/T$12)</f>
        <v>5.3196338524631091E-2</v>
      </c>
      <c r="W46" s="15"/>
      <c r="X46" s="20">
        <f>+P46-T46</f>
        <v>27297.079999999783</v>
      </c>
      <c r="Y46" s="15"/>
      <c r="Z46" s="22">
        <f>IF(T46=0,0,X46/T46)</f>
        <v>0.73343383974340648</v>
      </c>
    </row>
    <row r="47" spans="1:26" x14ac:dyDescent="0.3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">
      <c r="A48" s="10"/>
      <c r="B48" s="26" t="s">
        <v>294</v>
      </c>
      <c r="C48" s="10"/>
      <c r="D48" s="21">
        <f>SUM(OSRRefD22x_0)</f>
        <v>14040.32</v>
      </c>
      <c r="E48" s="21"/>
      <c r="F48" s="32">
        <f t="shared" ref="F48:F58" si="18">IF(D$12=0,0,D48/D$12)</f>
        <v>4.0889343929411924E-2</v>
      </c>
      <c r="G48" s="21"/>
      <c r="H48" s="21">
        <f>SUM(OSRRefH22x_0)</f>
        <v>15135.81</v>
      </c>
      <c r="I48" s="21"/>
      <c r="J48" s="32">
        <f t="shared" ref="J48:J58" si="19">IF(H$12=0,0,H48/H$12)</f>
        <v>3.0784419471292106E-2</v>
      </c>
      <c r="K48" s="4"/>
      <c r="L48" s="21">
        <f t="shared" ref="L48:L58" si="20">+D48-H48</f>
        <v>-1095.4899999999998</v>
      </c>
      <c r="M48" s="4"/>
      <c r="N48" s="32">
        <f t="shared" ref="N48:N58" si="21">IF(H48=0,0,L48/H48)</f>
        <v>-7.2377362030839429E-2</v>
      </c>
      <c r="O48" s="10"/>
      <c r="P48" s="21">
        <f>SUM(OSRRefP22x_0)</f>
        <v>30924.99</v>
      </c>
      <c r="Q48" s="21"/>
      <c r="R48" s="32">
        <f t="shared" ref="R48:R58" si="22">IF(P$12=0,0,P48/P$12)</f>
        <v>7.0495575737268293E-2</v>
      </c>
      <c r="S48" s="21"/>
      <c r="T48" s="21">
        <f>SUM(OSRRefT22x_0)</f>
        <v>26915.47</v>
      </c>
      <c r="U48" s="21"/>
      <c r="V48" s="32">
        <f t="shared" ref="V48:V58" si="23">IF(T$12=0,0,T48/T$12)</f>
        <v>3.8470555759684867E-2</v>
      </c>
      <c r="W48" s="4"/>
      <c r="X48" s="21">
        <f t="shared" ref="X48:X58" si="24">+P48-T48</f>
        <v>4009.5200000000004</v>
      </c>
      <c r="Y48" s="4"/>
      <c r="Z48" s="32">
        <f t="shared" ref="Z48:Z58" si="25">IF(T48=0,0,X48/T48)</f>
        <v>0.1489671181666157</v>
      </c>
    </row>
    <row r="49" spans="1:26" s="28" customFormat="1" outlineLevel="1" collapsed="1" x14ac:dyDescent="0.3">
      <c r="A49" s="29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999.63</v>
      </c>
      <c r="E49" s="1"/>
      <c r="F49" s="5">
        <f t="shared" si="18"/>
        <v>2.9112025133442854E-3</v>
      </c>
      <c r="G49" s="1"/>
      <c r="H49" s="1">
        <f>SUM(OSRRefH22_0x_0)</f>
        <v>2843.1500000000005</v>
      </c>
      <c r="I49" s="1"/>
      <c r="J49" s="5">
        <f t="shared" si="19"/>
        <v>5.7826255892353415E-3</v>
      </c>
      <c r="K49" s="1"/>
      <c r="L49" s="1">
        <f t="shared" si="20"/>
        <v>-1843.5200000000004</v>
      </c>
      <c r="M49" s="1"/>
      <c r="N49" s="5">
        <f t="shared" si="21"/>
        <v>-0.64840757610396926</v>
      </c>
      <c r="O49" s="14"/>
      <c r="P49" s="1">
        <f>SUM(OSRRefP22_0x_0)</f>
        <v>3159.23</v>
      </c>
      <c r="Q49" s="1"/>
      <c r="R49" s="5">
        <f t="shared" si="22"/>
        <v>7.2016753355926737E-3</v>
      </c>
      <c r="S49" s="1"/>
      <c r="T49" s="1">
        <f>SUM(OSRRefT22_0x_0)</f>
        <v>5571.5200000000013</v>
      </c>
      <c r="U49" s="1"/>
      <c r="V49" s="5">
        <f t="shared" si="23"/>
        <v>7.963430355338379E-3</v>
      </c>
      <c r="W49" s="1"/>
      <c r="X49" s="1">
        <f t="shared" si="24"/>
        <v>-2412.2900000000013</v>
      </c>
      <c r="Y49" s="1"/>
      <c r="Z49" s="5">
        <f t="shared" si="25"/>
        <v>-0.43296802308885202</v>
      </c>
    </row>
    <row r="50" spans="1:26" s="24" customFormat="1" hidden="1" outlineLevel="2" x14ac:dyDescent="0.3">
      <c r="A50" s="27"/>
      <c r="B50" s="11" t="str">
        <f>CONCATENATE("          ", "6111", " - ", "F.I.C.A.")</f>
        <v xml:space="preserve">          6111 - F.I.C.A.</v>
      </c>
      <c r="C50" s="11"/>
      <c r="D50" s="7">
        <v>406.68</v>
      </c>
      <c r="E50" s="2"/>
      <c r="F50" s="8">
        <f t="shared" si="18"/>
        <v>1.1843660535666737E-3</v>
      </c>
      <c r="G50" s="2"/>
      <c r="H50" s="7">
        <v>618.58000000000004</v>
      </c>
      <c r="I50" s="2"/>
      <c r="J50" s="8">
        <f t="shared" si="19"/>
        <v>1.2581174180008783E-3</v>
      </c>
      <c r="K50" s="2"/>
      <c r="L50" s="7">
        <f t="shared" si="20"/>
        <v>-211.90000000000003</v>
      </c>
      <c r="M50" s="2"/>
      <c r="N50" s="8">
        <f t="shared" si="21"/>
        <v>-0.34255876361990367</v>
      </c>
      <c r="O50" s="11"/>
      <c r="P50" s="7">
        <v>1060.24</v>
      </c>
      <c r="Q50" s="2"/>
      <c r="R50" s="8">
        <f t="shared" si="22"/>
        <v>2.416887740939652E-3</v>
      </c>
      <c r="S50" s="2"/>
      <c r="T50" s="7">
        <v>1038.3800000000001</v>
      </c>
      <c r="U50" s="2"/>
      <c r="V50" s="8">
        <f t="shared" si="23"/>
        <v>1.484167123581404E-3</v>
      </c>
      <c r="W50" s="2"/>
      <c r="X50" s="7">
        <f t="shared" si="24"/>
        <v>21.8599999999999</v>
      </c>
      <c r="Y50" s="2"/>
      <c r="Z50" s="8">
        <f t="shared" si="25"/>
        <v>2.1052023344055065E-2</v>
      </c>
    </row>
    <row r="51" spans="1:26" s="24" customFormat="1" hidden="1" outlineLevel="2" x14ac:dyDescent="0.3">
      <c r="A51" s="27"/>
      <c r="B51" s="11" t="str">
        <f>CONCATENATE("          ", "6112", " - ", "COMPENSATION INSURANCE")</f>
        <v xml:space="preserve">          6112 - COMPENSATION INSURANCE</v>
      </c>
      <c r="C51" s="11"/>
      <c r="D51" s="7">
        <v>112.83</v>
      </c>
      <c r="E51" s="2"/>
      <c r="F51" s="8">
        <f t="shared" si="18"/>
        <v>3.2859255882740189E-4</v>
      </c>
      <c r="G51" s="2"/>
      <c r="H51" s="7">
        <v>90.86</v>
      </c>
      <c r="I51" s="2"/>
      <c r="J51" s="8">
        <f t="shared" si="19"/>
        <v>1.8479832616566941E-4</v>
      </c>
      <c r="K51" s="2"/>
      <c r="L51" s="7">
        <f t="shared" si="20"/>
        <v>21.97</v>
      </c>
      <c r="M51" s="2"/>
      <c r="N51" s="8">
        <f t="shared" si="21"/>
        <v>0.24180057230904686</v>
      </c>
      <c r="O51" s="11"/>
      <c r="P51" s="7">
        <v>290.19</v>
      </c>
      <c r="Q51" s="2"/>
      <c r="R51" s="8">
        <f t="shared" si="22"/>
        <v>6.6150744505326863E-4</v>
      </c>
      <c r="S51" s="2"/>
      <c r="T51" s="7">
        <v>143.91</v>
      </c>
      <c r="U51" s="2"/>
      <c r="V51" s="8">
        <f t="shared" si="23"/>
        <v>2.0569203061942626E-4</v>
      </c>
      <c r="W51" s="2"/>
      <c r="X51" s="7">
        <f t="shared" si="24"/>
        <v>146.28</v>
      </c>
      <c r="Y51" s="2"/>
      <c r="Z51" s="8">
        <f t="shared" si="25"/>
        <v>1.0164686262247238</v>
      </c>
    </row>
    <row r="52" spans="1:26" s="24" customFormat="1" hidden="1" outlineLevel="2" x14ac:dyDescent="0.3">
      <c r="A52" s="27"/>
      <c r="B52" s="11" t="str">
        <f>CONCATENATE("          ", "6113", " - ", "GROUP INSURANCE")</f>
        <v xml:space="preserve">          6113 - GROUP INSURANCE</v>
      </c>
      <c r="C52" s="11"/>
      <c r="D52" s="7">
        <v>165.65</v>
      </c>
      <c r="E52" s="2"/>
      <c r="F52" s="8">
        <f t="shared" si="18"/>
        <v>4.8241919143631238E-4</v>
      </c>
      <c r="G52" s="2"/>
      <c r="H52" s="7">
        <v>1035.69</v>
      </c>
      <c r="I52" s="2"/>
      <c r="J52" s="8">
        <f t="shared" si="19"/>
        <v>2.106469055981974E-3</v>
      </c>
      <c r="K52" s="2"/>
      <c r="L52" s="7">
        <f t="shared" si="20"/>
        <v>-870.04000000000008</v>
      </c>
      <c r="M52" s="2"/>
      <c r="N52" s="8">
        <f t="shared" si="21"/>
        <v>-0.84005831860885016</v>
      </c>
      <c r="O52" s="11"/>
      <c r="P52" s="7">
        <v>993.92</v>
      </c>
      <c r="Q52" s="2"/>
      <c r="R52" s="8">
        <f t="shared" si="22"/>
        <v>2.2657068809653841E-3</v>
      </c>
      <c r="S52" s="2"/>
      <c r="T52" s="7">
        <v>2071.38</v>
      </c>
      <c r="U52" s="2"/>
      <c r="V52" s="8">
        <f t="shared" si="23"/>
        <v>2.9606445582966243E-3</v>
      </c>
      <c r="W52" s="2"/>
      <c r="X52" s="7">
        <f t="shared" si="24"/>
        <v>-1077.46</v>
      </c>
      <c r="Y52" s="2"/>
      <c r="Z52" s="8">
        <f t="shared" si="25"/>
        <v>-0.52016530042773412</v>
      </c>
    </row>
    <row r="53" spans="1:26" s="24" customFormat="1" hidden="1" outlineLevel="2" x14ac:dyDescent="0.3">
      <c r="A53" s="27"/>
      <c r="B53" s="11" t="str">
        <f>CONCATENATE("          ", "6114", " - ", "STATE UNEMPLOYMENT INSURANCE")</f>
        <v xml:space="preserve">          6114 - STATE UNEMPLOYMENT INSURANCE</v>
      </c>
      <c r="C53" s="11"/>
      <c r="D53" s="7">
        <v>19.82</v>
      </c>
      <c r="E53" s="2"/>
      <c r="F53" s="8">
        <f t="shared" si="18"/>
        <v>5.7721390729053494E-5</v>
      </c>
      <c r="G53" s="2"/>
      <c r="H53" s="7">
        <v>20.47</v>
      </c>
      <c r="I53" s="2"/>
      <c r="J53" s="8">
        <f t="shared" si="19"/>
        <v>4.1633521204174037E-5</v>
      </c>
      <c r="K53" s="2"/>
      <c r="L53" s="7">
        <f t="shared" si="20"/>
        <v>-0.64999999999999858</v>
      </c>
      <c r="M53" s="2"/>
      <c r="N53" s="8">
        <f t="shared" si="21"/>
        <v>-3.1753786028334077E-2</v>
      </c>
      <c r="O53" s="11"/>
      <c r="P53" s="7">
        <v>50.98</v>
      </c>
      <c r="Q53" s="2"/>
      <c r="R53" s="8">
        <f t="shared" si="22"/>
        <v>1.1621230762195676E-4</v>
      </c>
      <c r="S53" s="2"/>
      <c r="T53" s="7">
        <v>34.93</v>
      </c>
      <c r="U53" s="2"/>
      <c r="V53" s="8">
        <f t="shared" si="23"/>
        <v>4.9925805222267797E-5</v>
      </c>
      <c r="W53" s="2"/>
      <c r="X53" s="7">
        <f t="shared" si="24"/>
        <v>16.049999999999997</v>
      </c>
      <c r="Y53" s="2"/>
      <c r="Z53" s="8">
        <f t="shared" si="25"/>
        <v>0.45949040939020891</v>
      </c>
    </row>
    <row r="54" spans="1:26" s="24" customFormat="1" hidden="1" outlineLevel="2" x14ac:dyDescent="0.3">
      <c r="A54" s="27"/>
      <c r="B54" s="11" t="str">
        <f>CONCATENATE("          ", "6115", " - ", "P.E.R.S.")</f>
        <v xml:space="preserve">          6115 - P.E.R.S.</v>
      </c>
      <c r="C54" s="11"/>
      <c r="D54" s="7">
        <v>99.25</v>
      </c>
      <c r="E54" s="2"/>
      <c r="F54" s="8">
        <f t="shared" si="18"/>
        <v>2.8904379565381226E-4</v>
      </c>
      <c r="G54" s="2"/>
      <c r="H54" s="7">
        <v>176.42</v>
      </c>
      <c r="I54" s="2"/>
      <c r="J54" s="8">
        <f t="shared" si="19"/>
        <v>3.5881708895165528E-4</v>
      </c>
      <c r="K54" s="2"/>
      <c r="L54" s="7">
        <f t="shared" si="20"/>
        <v>-77.169999999999987</v>
      </c>
      <c r="M54" s="2"/>
      <c r="N54" s="8">
        <f t="shared" si="21"/>
        <v>-0.43742206099081732</v>
      </c>
      <c r="O54" s="11"/>
      <c r="P54" s="7">
        <v>233.15</v>
      </c>
      <c r="Q54" s="2"/>
      <c r="R54" s="8">
        <f t="shared" si="22"/>
        <v>5.3148096355549676E-4</v>
      </c>
      <c r="S54" s="2"/>
      <c r="T54" s="7">
        <v>441.05</v>
      </c>
      <c r="U54" s="2"/>
      <c r="V54" s="8">
        <f t="shared" si="23"/>
        <v>6.3039726290527382E-4</v>
      </c>
      <c r="W54" s="2"/>
      <c r="X54" s="7">
        <f t="shared" si="24"/>
        <v>-207.9</v>
      </c>
      <c r="Y54" s="2"/>
      <c r="Z54" s="8">
        <f t="shared" si="25"/>
        <v>-0.47137512753656047</v>
      </c>
    </row>
    <row r="55" spans="1:26" s="24" customFormat="1" hidden="1" outlineLevel="2" x14ac:dyDescent="0.3">
      <c r="A55" s="27"/>
      <c r="B55" s="11" t="str">
        <f>CONCATENATE("          ", "6117", " - ", "RETIREMENT STAFF HOURLY")</f>
        <v xml:space="preserve">          6117 - RETIREMENT STAFF HOURLY</v>
      </c>
      <c r="C55" s="11"/>
      <c r="D55" s="7">
        <v>60</v>
      </c>
      <c r="E55" s="2"/>
      <c r="F55" s="8">
        <f t="shared" si="18"/>
        <v>1.7473680341792178E-4</v>
      </c>
      <c r="G55" s="2"/>
      <c r="H55" s="7">
        <v>190.54</v>
      </c>
      <c r="I55" s="2"/>
      <c r="J55" s="8">
        <f t="shared" si="19"/>
        <v>3.8753547289903861E-4</v>
      </c>
      <c r="K55" s="2"/>
      <c r="L55" s="7">
        <f t="shared" si="20"/>
        <v>-130.54</v>
      </c>
      <c r="M55" s="2"/>
      <c r="N55" s="8">
        <f t="shared" si="21"/>
        <v>-0.68510548966096352</v>
      </c>
      <c r="O55" s="11"/>
      <c r="P55" s="7">
        <v>222.7</v>
      </c>
      <c r="Q55" s="2"/>
      <c r="R55" s="8">
        <f t="shared" si="22"/>
        <v>5.0765949210297711E-4</v>
      </c>
      <c r="S55" s="2"/>
      <c r="T55" s="7">
        <v>438.08</v>
      </c>
      <c r="U55" s="2"/>
      <c r="V55" s="8">
        <f t="shared" si="23"/>
        <v>6.2615221161669275E-4</v>
      </c>
      <c r="W55" s="2"/>
      <c r="X55" s="7">
        <f t="shared" si="24"/>
        <v>-215.38</v>
      </c>
      <c r="Y55" s="2"/>
      <c r="Z55" s="8">
        <f t="shared" si="25"/>
        <v>-0.49164536157779404</v>
      </c>
    </row>
    <row r="56" spans="1:26" s="24" customFormat="1" hidden="1" outlineLevel="2" x14ac:dyDescent="0.3">
      <c r="A56" s="27"/>
      <c r="B56" s="11" t="str">
        <f>CONCATENATE("          ", "6118", " - ", "VACATION")</f>
        <v xml:space="preserve">          6118 - VACATION</v>
      </c>
      <c r="C56" s="11"/>
      <c r="D56" s="7">
        <v>61.6</v>
      </c>
      <c r="E56" s="2"/>
      <c r="F56" s="8">
        <f t="shared" si="18"/>
        <v>1.7939645150906634E-4</v>
      </c>
      <c r="G56" s="2"/>
      <c r="H56" s="7">
        <v>257.8</v>
      </c>
      <c r="I56" s="2"/>
      <c r="J56" s="8">
        <f t="shared" si="19"/>
        <v>5.2433423382687193E-4</v>
      </c>
      <c r="K56" s="2"/>
      <c r="L56" s="7">
        <f t="shared" si="20"/>
        <v>-196.20000000000002</v>
      </c>
      <c r="M56" s="2"/>
      <c r="N56" s="8">
        <f t="shared" si="21"/>
        <v>-0.76105508145849499</v>
      </c>
      <c r="O56" s="11"/>
      <c r="P56" s="7">
        <v>129.36000000000001</v>
      </c>
      <c r="Q56" s="2"/>
      <c r="R56" s="8">
        <f t="shared" si="22"/>
        <v>2.9488474134908453E-4</v>
      </c>
      <c r="S56" s="2"/>
      <c r="T56" s="7">
        <v>515.6</v>
      </c>
      <c r="U56" s="2"/>
      <c r="V56" s="8">
        <f t="shared" si="23"/>
        <v>7.3695233817925221E-4</v>
      </c>
      <c r="W56" s="2"/>
      <c r="X56" s="7">
        <f t="shared" si="24"/>
        <v>-386.24</v>
      </c>
      <c r="Y56" s="2"/>
      <c r="Z56" s="8">
        <f t="shared" si="25"/>
        <v>-0.74910783553141969</v>
      </c>
    </row>
    <row r="57" spans="1:26" s="24" customFormat="1" hidden="1" outlineLevel="2" x14ac:dyDescent="0.3">
      <c r="A57" s="27"/>
      <c r="B57" s="11" t="str">
        <f>CONCATENATE("          ", "6119", " - ", "SICK LEAVE")</f>
        <v xml:space="preserve">          6119 - SICK LEAVE</v>
      </c>
      <c r="C57" s="11"/>
      <c r="D57" s="7">
        <v>73.8</v>
      </c>
      <c r="E57" s="2"/>
      <c r="F57" s="8">
        <f t="shared" si="18"/>
        <v>2.1492626820404377E-4</v>
      </c>
      <c r="G57" s="2"/>
      <c r="H57" s="7">
        <v>256.57</v>
      </c>
      <c r="I57" s="2"/>
      <c r="J57" s="8">
        <f t="shared" si="19"/>
        <v>5.2183256157083211E-4</v>
      </c>
      <c r="K57" s="2"/>
      <c r="L57" s="7">
        <f t="shared" si="20"/>
        <v>-182.76999999999998</v>
      </c>
      <c r="M57" s="2"/>
      <c r="N57" s="8">
        <f t="shared" si="21"/>
        <v>-0.71235920021826393</v>
      </c>
      <c r="O57" s="11"/>
      <c r="P57" s="7">
        <v>154.97999999999999</v>
      </c>
      <c r="Q57" s="2"/>
      <c r="R57" s="8">
        <f t="shared" si="22"/>
        <v>3.5328723882406554E-4</v>
      </c>
      <c r="S57" s="2"/>
      <c r="T57" s="7">
        <v>513.14</v>
      </c>
      <c r="U57" s="2"/>
      <c r="V57" s="8">
        <f t="shared" si="23"/>
        <v>7.3343623509174052E-4</v>
      </c>
      <c r="W57" s="2"/>
      <c r="X57" s="7">
        <f t="shared" si="24"/>
        <v>-358.15999999999997</v>
      </c>
      <c r="Y57" s="2"/>
      <c r="Z57" s="8">
        <f t="shared" si="25"/>
        <v>-0.69797716022917722</v>
      </c>
    </row>
    <row r="58" spans="1:26" s="24" customFormat="1" hidden="1" outlineLevel="2" x14ac:dyDescent="0.3">
      <c r="A58" s="27"/>
      <c r="B58" s="11" t="str">
        <f>CONCATENATE("          ", "6156", " - ", "EMPLOYEE MEALS")</f>
        <v xml:space="preserve">          6156 - EMPLOYEE MEALS</v>
      </c>
      <c r="C58" s="11"/>
      <c r="D58" s="7"/>
      <c r="E58" s="2"/>
      <c r="F58" s="8">
        <f t="shared" si="18"/>
        <v>0</v>
      </c>
      <c r="G58" s="2"/>
      <c r="H58" s="7">
        <v>196.22</v>
      </c>
      <c r="I58" s="2"/>
      <c r="J58" s="8">
        <f t="shared" si="19"/>
        <v>3.9908791063424668E-4</v>
      </c>
      <c r="K58" s="2"/>
      <c r="L58" s="7">
        <f t="shared" si="20"/>
        <v>-196.22</v>
      </c>
      <c r="M58" s="2"/>
      <c r="N58" s="8">
        <f t="shared" si="21"/>
        <v>-1</v>
      </c>
      <c r="O58" s="11"/>
      <c r="P58" s="7">
        <v>23.71</v>
      </c>
      <c r="Q58" s="2"/>
      <c r="R58" s="8">
        <f t="shared" si="22"/>
        <v>5.4048525180788453E-5</v>
      </c>
      <c r="S58" s="2"/>
      <c r="T58" s="7">
        <v>375.05</v>
      </c>
      <c r="U58" s="2"/>
      <c r="V58" s="8">
        <f t="shared" si="23"/>
        <v>5.3606278982569532E-4</v>
      </c>
      <c r="W58" s="2"/>
      <c r="X58" s="7">
        <f t="shared" si="24"/>
        <v>-351.34000000000003</v>
      </c>
      <c r="Y58" s="2"/>
      <c r="Z58" s="8">
        <f t="shared" si="25"/>
        <v>-0.93678176243167588</v>
      </c>
    </row>
    <row r="59" spans="1:26" s="28" customFormat="1" outlineLevel="1" collapsed="1" x14ac:dyDescent="0.3">
      <c r="A59" s="29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9364.9499999999989</v>
      </c>
      <c r="E59" s="1"/>
      <c r="F59" s="5">
        <f t="shared" ref="F59:F63" si="26">IF(D$12=0,0,D59/D$12)</f>
        <v>2.727335711947777E-2</v>
      </c>
      <c r="G59" s="1"/>
      <c r="H59" s="1">
        <f>SUM(OSRRefH22_1x_0)</f>
        <v>9389.67</v>
      </c>
      <c r="I59" s="1"/>
      <c r="J59" s="5">
        <f t="shared" ref="J59:J63" si="27">IF(H$12=0,0,H59/H$12)</f>
        <v>1.9097460920625153E-2</v>
      </c>
      <c r="K59" s="1"/>
      <c r="L59" s="1">
        <f t="shared" ref="L59:L63" si="28">+D59-H59</f>
        <v>-24.720000000001164</v>
      </c>
      <c r="M59" s="1"/>
      <c r="N59" s="5">
        <f t="shared" ref="N59:N63" si="29">IF(H59=0,0,L59/H59)</f>
        <v>-2.6326803817387791E-3</v>
      </c>
      <c r="O59" s="14"/>
      <c r="P59" s="1">
        <f>SUM(OSRRefP22_1x_0)</f>
        <v>19875.87</v>
      </c>
      <c r="Q59" s="1"/>
      <c r="R59" s="5">
        <f t="shared" ref="R59:R63" si="30">IF(P$12=0,0,P59/P$12)</f>
        <v>4.5308370315692854E-2</v>
      </c>
      <c r="S59" s="1"/>
      <c r="T59" s="1">
        <f>SUM(OSRRefT22_1x_0)</f>
        <v>15807.490000000002</v>
      </c>
      <c r="U59" s="1"/>
      <c r="V59" s="5">
        <f t="shared" ref="V59:V63" si="31">IF(T$12=0,0,T59/T$12)</f>
        <v>2.2593806664556144E-2</v>
      </c>
      <c r="W59" s="1"/>
      <c r="X59" s="1">
        <f t="shared" ref="X59:X63" si="32">+P59-T59</f>
        <v>4068.3799999999974</v>
      </c>
      <c r="Y59" s="1"/>
      <c r="Z59" s="5">
        <f t="shared" ref="Z59:Z63" si="33">IF(T59=0,0,X59/T59)</f>
        <v>0.25737039846300691</v>
      </c>
    </row>
    <row r="60" spans="1:26" s="24" customFormat="1" hidden="1" outlineLevel="2" x14ac:dyDescent="0.3">
      <c r="A60" s="27"/>
      <c r="B60" s="11" t="str">
        <f>CONCATENATE("          ", "6002", " - ", "STAFF SALARIES")</f>
        <v xml:space="preserve">          6002 - STAFF SALARIES</v>
      </c>
      <c r="C60" s="11"/>
      <c r="D60" s="7">
        <v>980.7</v>
      </c>
      <c r="E60" s="2"/>
      <c r="F60" s="8">
        <f t="shared" si="26"/>
        <v>2.8560730518659315E-3</v>
      </c>
      <c r="G60" s="2"/>
      <c r="H60" s="7">
        <v>2054.0700000000002</v>
      </c>
      <c r="I60" s="2"/>
      <c r="J60" s="8">
        <f t="shared" si="27"/>
        <v>4.1777316511899254E-3</v>
      </c>
      <c r="K60" s="2"/>
      <c r="L60" s="7">
        <f t="shared" si="28"/>
        <v>-1073.3700000000001</v>
      </c>
      <c r="M60" s="2"/>
      <c r="N60" s="8">
        <f t="shared" si="29"/>
        <v>-0.52255765382873998</v>
      </c>
      <c r="O60" s="11"/>
      <c r="P60" s="7">
        <v>6094.62</v>
      </c>
      <c r="Q60" s="2"/>
      <c r="R60" s="8">
        <f t="shared" si="30"/>
        <v>1.3893092473105731E-2</v>
      </c>
      <c r="S60" s="2"/>
      <c r="T60" s="7">
        <v>4679.1400000000003</v>
      </c>
      <c r="U60" s="2"/>
      <c r="V60" s="8">
        <f t="shared" si="31"/>
        <v>6.6879425206905858E-3</v>
      </c>
      <c r="W60" s="2"/>
      <c r="X60" s="7">
        <f t="shared" si="32"/>
        <v>1415.4799999999996</v>
      </c>
      <c r="Y60" s="2"/>
      <c r="Z60" s="8">
        <f t="shared" si="33"/>
        <v>0.30250858063661262</v>
      </c>
    </row>
    <row r="61" spans="1:26" s="24" customFormat="1" hidden="1" outlineLevel="2" x14ac:dyDescent="0.3">
      <c r="A61" s="27"/>
      <c r="B61" s="11" t="str">
        <f>CONCATENATE("          ", "6004", " - ", "STAFF HOURLY")</f>
        <v xml:space="preserve">          6004 - STAFF HOURLY</v>
      </c>
      <c r="C61" s="11"/>
      <c r="D61" s="7">
        <v>1109.33</v>
      </c>
      <c r="E61" s="2"/>
      <c r="F61" s="8">
        <f t="shared" si="26"/>
        <v>3.2306796355933858E-3</v>
      </c>
      <c r="G61" s="2"/>
      <c r="H61" s="7">
        <v>3810.96</v>
      </c>
      <c r="I61" s="2"/>
      <c r="J61" s="8">
        <f t="shared" si="27"/>
        <v>7.7510348787620462E-3</v>
      </c>
      <c r="K61" s="2"/>
      <c r="L61" s="7">
        <f t="shared" si="28"/>
        <v>-2701.63</v>
      </c>
      <c r="M61" s="2"/>
      <c r="N61" s="8">
        <f t="shared" si="29"/>
        <v>-0.70891061569788194</v>
      </c>
      <c r="O61" s="11"/>
      <c r="P61" s="7">
        <v>1719.83</v>
      </c>
      <c r="Q61" s="2"/>
      <c r="R61" s="8">
        <f t="shared" si="30"/>
        <v>3.9204671050896414E-3</v>
      </c>
      <c r="S61" s="2"/>
      <c r="T61" s="7">
        <v>6834.71</v>
      </c>
      <c r="U61" s="2"/>
      <c r="V61" s="8">
        <f t="shared" si="31"/>
        <v>9.7689207045715994E-3</v>
      </c>
      <c r="W61" s="2"/>
      <c r="X61" s="7">
        <f t="shared" si="32"/>
        <v>-5114.88</v>
      </c>
      <c r="Y61" s="2"/>
      <c r="Z61" s="8">
        <f t="shared" si="33"/>
        <v>-0.74836825556607378</v>
      </c>
    </row>
    <row r="62" spans="1:26" s="24" customFormat="1" hidden="1" outlineLevel="2" x14ac:dyDescent="0.3">
      <c r="A62" s="27"/>
      <c r="B62" s="11" t="str">
        <f>CONCATENATE("          ", "6007", " - ", "STUDENT HOURLY")</f>
        <v xml:space="preserve">          6007 - STUDENT HOURLY</v>
      </c>
      <c r="C62" s="11"/>
      <c r="D62" s="7">
        <v>6117.37</v>
      </c>
      <c r="E62" s="2"/>
      <c r="F62" s="8">
        <f t="shared" si="26"/>
        <v>1.7815494652078202E-2</v>
      </c>
      <c r="G62" s="2"/>
      <c r="H62" s="7">
        <v>3524.64</v>
      </c>
      <c r="I62" s="2"/>
      <c r="J62" s="8">
        <f t="shared" si="27"/>
        <v>7.1686943906731793E-3</v>
      </c>
      <c r="K62" s="2"/>
      <c r="L62" s="7">
        <f t="shared" si="28"/>
        <v>2592.73</v>
      </c>
      <c r="M62" s="2"/>
      <c r="N62" s="8">
        <f t="shared" si="29"/>
        <v>0.73560136638068008</v>
      </c>
      <c r="O62" s="11"/>
      <c r="P62" s="7">
        <v>10903.87</v>
      </c>
      <c r="Q62" s="2"/>
      <c r="R62" s="8">
        <f t="shared" si="30"/>
        <v>2.4856098366218632E-2</v>
      </c>
      <c r="S62" s="2"/>
      <c r="T62" s="7">
        <v>4293.6400000000003</v>
      </c>
      <c r="U62" s="2"/>
      <c r="V62" s="8">
        <f t="shared" si="31"/>
        <v>6.1369434392939577E-3</v>
      </c>
      <c r="W62" s="2"/>
      <c r="X62" s="7">
        <f t="shared" si="32"/>
        <v>6610.2300000000005</v>
      </c>
      <c r="Y62" s="2"/>
      <c r="Z62" s="8">
        <f t="shared" si="33"/>
        <v>1.5395398775863836</v>
      </c>
    </row>
    <row r="63" spans="1:26" s="24" customFormat="1" hidden="1" outlineLevel="2" x14ac:dyDescent="0.3">
      <c r="A63" s="27"/>
      <c r="B63" s="11" t="str">
        <f>CONCATENATE("          ", "6008", " - ", "STUDENT HOURLY-FICA EXEMPT")</f>
        <v xml:space="preserve">          6008 - STUDENT HOURLY-FICA EXEMPT</v>
      </c>
      <c r="C63" s="11"/>
      <c r="D63" s="7">
        <v>1157.55</v>
      </c>
      <c r="E63" s="2"/>
      <c r="F63" s="8">
        <f t="shared" si="26"/>
        <v>3.3711097799402553E-3</v>
      </c>
      <c r="G63" s="2"/>
      <c r="H63" s="7"/>
      <c r="I63" s="2"/>
      <c r="J63" s="8">
        <f t="shared" si="27"/>
        <v>0</v>
      </c>
      <c r="K63" s="2"/>
      <c r="L63" s="7">
        <f t="shared" si="28"/>
        <v>1157.55</v>
      </c>
      <c r="M63" s="2"/>
      <c r="N63" s="8">
        <f t="shared" si="29"/>
        <v>0</v>
      </c>
      <c r="O63" s="11"/>
      <c r="P63" s="7">
        <v>1157.55</v>
      </c>
      <c r="Q63" s="2"/>
      <c r="R63" s="8">
        <f t="shared" si="30"/>
        <v>2.6387123712788558E-3</v>
      </c>
      <c r="S63" s="2"/>
      <c r="T63" s="7"/>
      <c r="U63" s="2"/>
      <c r="V63" s="8">
        <f t="shared" si="31"/>
        <v>0</v>
      </c>
      <c r="W63" s="2"/>
      <c r="X63" s="7">
        <f t="shared" si="32"/>
        <v>1157.55</v>
      </c>
      <c r="Y63" s="2"/>
      <c r="Z63" s="8">
        <f t="shared" si="33"/>
        <v>0</v>
      </c>
    </row>
    <row r="64" spans="1:26" s="28" customFormat="1" outlineLevel="1" collapsed="1" x14ac:dyDescent="0.3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39.619999999999997</v>
      </c>
      <c r="E64" s="1"/>
      <c r="F64" s="5">
        <f t="shared" ref="F64:F72" si="34">IF(D$12=0,0,D64/D$12)</f>
        <v>1.1538453585696766E-4</v>
      </c>
      <c r="G64" s="1"/>
      <c r="H64" s="1">
        <f>SUM(OSRRefH22_2x_0)</f>
        <v>99.23</v>
      </c>
      <c r="I64" s="1"/>
      <c r="J64" s="5">
        <f t="shared" ref="J64:J72" si="35">IF(H$12=0,0,H64/H$12)</f>
        <v>2.0182190078603762E-4</v>
      </c>
      <c r="K64" s="1"/>
      <c r="L64" s="1">
        <f t="shared" ref="L64:L72" si="36">+D64-H64</f>
        <v>-59.610000000000007</v>
      </c>
      <c r="M64" s="1"/>
      <c r="N64" s="5">
        <f t="shared" ref="N64:N72" si="37">IF(H64=0,0,L64/H64)</f>
        <v>-0.60072558702005441</v>
      </c>
      <c r="O64" s="14"/>
      <c r="P64" s="1">
        <f>SUM(OSRRefP22_2x_0)</f>
        <v>85.04</v>
      </c>
      <c r="Q64" s="1"/>
      <c r="R64" s="5">
        <f t="shared" ref="R64:R72" si="38">IF(P$12=0,0,P64/P$12)</f>
        <v>1.938543475906474E-4</v>
      </c>
      <c r="S64" s="1"/>
      <c r="T64" s="1">
        <f>SUM(OSRRefT22_2x_0)</f>
        <v>248.88</v>
      </c>
      <c r="U64" s="1"/>
      <c r="V64" s="5">
        <f t="shared" ref="V64:V72" si="39">IF(T$12=0,0,T64/T$12)</f>
        <v>3.5572672212190123E-4</v>
      </c>
      <c r="W64" s="1"/>
      <c r="X64" s="1">
        <f t="shared" ref="X64:X72" si="40">+P64-T64</f>
        <v>-163.83999999999997</v>
      </c>
      <c r="Y64" s="1"/>
      <c r="Z64" s="5">
        <f t="shared" ref="Z64:Z72" si="41">IF(T64=0,0,X64/T64)</f>
        <v>-0.658309225329476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39.619999999999997</v>
      </c>
      <c r="E65" s="2"/>
      <c r="F65" s="8">
        <f t="shared" si="34"/>
        <v>1.1538453585696766E-4</v>
      </c>
      <c r="G65" s="2"/>
      <c r="H65" s="7">
        <v>99.23</v>
      </c>
      <c r="I65" s="2"/>
      <c r="J65" s="8">
        <f t="shared" si="35"/>
        <v>2.0182190078603762E-4</v>
      </c>
      <c r="K65" s="2"/>
      <c r="L65" s="7">
        <f t="shared" si="36"/>
        <v>-59.610000000000007</v>
      </c>
      <c r="M65" s="2"/>
      <c r="N65" s="8">
        <f t="shared" si="37"/>
        <v>-0.60072558702005441</v>
      </c>
      <c r="O65" s="11"/>
      <c r="P65" s="7">
        <v>85.04</v>
      </c>
      <c r="Q65" s="2"/>
      <c r="R65" s="8">
        <f t="shared" si="38"/>
        <v>1.938543475906474E-4</v>
      </c>
      <c r="S65" s="2"/>
      <c r="T65" s="7">
        <v>248.88</v>
      </c>
      <c r="U65" s="2"/>
      <c r="V65" s="8">
        <f t="shared" si="39"/>
        <v>3.5572672212190123E-4</v>
      </c>
      <c r="W65" s="2"/>
      <c r="X65" s="7">
        <f t="shared" si="40"/>
        <v>-163.83999999999997</v>
      </c>
      <c r="Y65" s="2"/>
      <c r="Z65" s="8">
        <f t="shared" si="41"/>
        <v>-0.658309225329476</v>
      </c>
    </row>
    <row r="66" spans="1:26" s="28" customFormat="1" outlineLevel="1" collapsed="1" x14ac:dyDescent="0.3">
      <c r="A66" s="29"/>
      <c r="B66" s="14" t="str">
        <f>CONCATENATE("     ","Depreciation                                      ")</f>
        <v xml:space="preserve">     Depreciation                                      </v>
      </c>
      <c r="C66" s="14"/>
      <c r="D66" s="1">
        <f>SUM(OSRRefD22_3x_0)</f>
        <v>280.44</v>
      </c>
      <c r="E66" s="1"/>
      <c r="F66" s="5">
        <f t="shared" si="34"/>
        <v>8.1671981917536636E-4</v>
      </c>
      <c r="G66" s="1"/>
      <c r="H66" s="1">
        <f>SUM(OSRRefH22_3x_0)</f>
        <v>280.44</v>
      </c>
      <c r="I66" s="1"/>
      <c r="J66" s="5">
        <f t="shared" si="35"/>
        <v>5.703812743770673E-4</v>
      </c>
      <c r="K66" s="1"/>
      <c r="L66" s="1">
        <f t="shared" si="36"/>
        <v>0</v>
      </c>
      <c r="M66" s="1"/>
      <c r="N66" s="5">
        <f t="shared" si="37"/>
        <v>0</v>
      </c>
      <c r="O66" s="14"/>
      <c r="P66" s="1">
        <f>SUM(OSRRefP22_3x_0)</f>
        <v>560.88</v>
      </c>
      <c r="Q66" s="1"/>
      <c r="R66" s="5">
        <f t="shared" si="38"/>
        <v>1.2785633405061419E-3</v>
      </c>
      <c r="S66" s="1"/>
      <c r="T66" s="1">
        <f>SUM(OSRRefT22_3x_0)</f>
        <v>560.88</v>
      </c>
      <c r="U66" s="1"/>
      <c r="V66" s="5">
        <f t="shared" si="39"/>
        <v>8.016715039526357E-4</v>
      </c>
      <c r="W66" s="1"/>
      <c r="X66" s="1">
        <f t="shared" si="40"/>
        <v>0</v>
      </c>
      <c r="Y66" s="1"/>
      <c r="Z66" s="5">
        <f t="shared" si="41"/>
        <v>0</v>
      </c>
    </row>
    <row r="67" spans="1:26" s="24" customFormat="1" hidden="1" outlineLevel="2" x14ac:dyDescent="0.3">
      <c r="A67" s="27"/>
      <c r="B67" s="11" t="str">
        <f>CONCATENATE("          ", "6322", " - ", "EQUIPMENT DEPRECIATION EXPENSE")</f>
        <v xml:space="preserve">          6322 - EQUIPMENT DEPRECIATION EXPENSE</v>
      </c>
      <c r="C67" s="11"/>
      <c r="D67" s="7">
        <v>280.44</v>
      </c>
      <c r="E67" s="2"/>
      <c r="F67" s="8">
        <f t="shared" si="34"/>
        <v>8.1671981917536636E-4</v>
      </c>
      <c r="G67" s="2"/>
      <c r="H67" s="7">
        <v>280.44</v>
      </c>
      <c r="I67" s="2"/>
      <c r="J67" s="8">
        <f t="shared" si="35"/>
        <v>5.703812743770673E-4</v>
      </c>
      <c r="K67" s="2"/>
      <c r="L67" s="7">
        <f t="shared" si="36"/>
        <v>0</v>
      </c>
      <c r="M67" s="2"/>
      <c r="N67" s="8">
        <f t="shared" si="37"/>
        <v>0</v>
      </c>
      <c r="O67" s="11"/>
      <c r="P67" s="7">
        <v>560.88</v>
      </c>
      <c r="Q67" s="2"/>
      <c r="R67" s="8">
        <f t="shared" si="38"/>
        <v>1.2785633405061419E-3</v>
      </c>
      <c r="S67" s="2"/>
      <c r="T67" s="7">
        <v>560.88</v>
      </c>
      <c r="U67" s="2"/>
      <c r="V67" s="8">
        <f t="shared" si="39"/>
        <v>8.016715039526357E-4</v>
      </c>
      <c r="W67" s="2"/>
      <c r="X67" s="7">
        <f t="shared" si="40"/>
        <v>0</v>
      </c>
      <c r="Y67" s="2"/>
      <c r="Z67" s="8">
        <f t="shared" si="41"/>
        <v>0</v>
      </c>
    </row>
    <row r="68" spans="1:26" s="28" customFormat="1" outlineLevel="1" collapsed="1" x14ac:dyDescent="0.3">
      <c r="A68" s="29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SUM(OSRRefD22_4x_0)</f>
        <v>0</v>
      </c>
      <c r="E68" s="1"/>
      <c r="F68" s="5">
        <f t="shared" si="34"/>
        <v>0</v>
      </c>
      <c r="G68" s="1"/>
      <c r="H68" s="1">
        <f>SUM(OSRRefH22_4x_0)</f>
        <v>0</v>
      </c>
      <c r="I68" s="1"/>
      <c r="J68" s="5">
        <f t="shared" si="35"/>
        <v>0</v>
      </c>
      <c r="K68" s="1"/>
      <c r="L68" s="1">
        <f t="shared" si="36"/>
        <v>0</v>
      </c>
      <c r="M68" s="1"/>
      <c r="N68" s="5">
        <f t="shared" si="37"/>
        <v>0</v>
      </c>
      <c r="O68" s="14"/>
      <c r="P68" s="1">
        <f>SUM(OSRRefP22_4x_0)</f>
        <v>0</v>
      </c>
      <c r="Q68" s="1"/>
      <c r="R68" s="5">
        <f t="shared" si="38"/>
        <v>0</v>
      </c>
      <c r="S68" s="1"/>
      <c r="T68" s="1">
        <f>SUM(OSRRefT22_4x_0)</f>
        <v>0</v>
      </c>
      <c r="U68" s="1"/>
      <c r="V68" s="5">
        <f t="shared" si="39"/>
        <v>0</v>
      </c>
      <c r="W68" s="1"/>
      <c r="X68" s="1">
        <f t="shared" si="40"/>
        <v>0</v>
      </c>
      <c r="Y68" s="1"/>
      <c r="Z68" s="5">
        <f t="shared" si="41"/>
        <v>0</v>
      </c>
    </row>
    <row r="69" spans="1:26" s="24" customFormat="1" hidden="1" outlineLevel="2" x14ac:dyDescent="0.3">
      <c r="A69" s="27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8">
        <f t="shared" si="34"/>
        <v>0</v>
      </c>
      <c r="G69" s="2"/>
      <c r="H69" s="7">
        <v>0</v>
      </c>
      <c r="I69" s="2"/>
      <c r="J69" s="8">
        <f t="shared" si="35"/>
        <v>0</v>
      </c>
      <c r="K69" s="2"/>
      <c r="L69" s="7">
        <f t="shared" si="36"/>
        <v>0</v>
      </c>
      <c r="M69" s="2"/>
      <c r="N69" s="8">
        <f t="shared" si="37"/>
        <v>0</v>
      </c>
      <c r="O69" s="11"/>
      <c r="P69" s="7"/>
      <c r="Q69" s="2"/>
      <c r="R69" s="8">
        <f t="shared" si="38"/>
        <v>0</v>
      </c>
      <c r="S69" s="2"/>
      <c r="T69" s="7">
        <v>0</v>
      </c>
      <c r="U69" s="2"/>
      <c r="V69" s="8">
        <f t="shared" si="39"/>
        <v>0</v>
      </c>
      <c r="W69" s="2"/>
      <c r="X69" s="7">
        <f t="shared" si="40"/>
        <v>0</v>
      </c>
      <c r="Y69" s="2"/>
      <c r="Z69" s="8">
        <f t="shared" si="41"/>
        <v>0</v>
      </c>
    </row>
    <row r="70" spans="1:26" s="28" customFormat="1" outlineLevel="1" collapsed="1" x14ac:dyDescent="0.3">
      <c r="A70" s="29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SUM(OSRRefD22_5x_0)</f>
        <v>0</v>
      </c>
      <c r="E70" s="1"/>
      <c r="F70" s="5">
        <f t="shared" si="34"/>
        <v>0</v>
      </c>
      <c r="G70" s="1"/>
      <c r="H70" s="1">
        <f>SUM(OSRRefH22_5x_0)</f>
        <v>179.14000000000001</v>
      </c>
      <c r="I70" s="1"/>
      <c r="J70" s="5">
        <f t="shared" si="35"/>
        <v>3.6434924223330425E-4</v>
      </c>
      <c r="K70" s="1"/>
      <c r="L70" s="1">
        <f t="shared" si="36"/>
        <v>-179.14000000000001</v>
      </c>
      <c r="M70" s="1"/>
      <c r="N70" s="5">
        <f t="shared" si="37"/>
        <v>-1</v>
      </c>
      <c r="O70" s="14"/>
      <c r="P70" s="1">
        <f>SUM(OSRRefP22_5x_0)</f>
        <v>93.19</v>
      </c>
      <c r="Q70" s="1"/>
      <c r="R70" s="5">
        <f t="shared" si="38"/>
        <v>2.1243281575696648E-4</v>
      </c>
      <c r="S70" s="1"/>
      <c r="T70" s="1">
        <f>SUM(OSRRefT22_5x_0)</f>
        <v>189.75</v>
      </c>
      <c r="U70" s="1"/>
      <c r="V70" s="5">
        <f t="shared" si="39"/>
        <v>2.7121161010378801E-4</v>
      </c>
      <c r="W70" s="1"/>
      <c r="X70" s="1">
        <f t="shared" si="40"/>
        <v>-96.56</v>
      </c>
      <c r="Y70" s="1"/>
      <c r="Z70" s="5">
        <f t="shared" si="41"/>
        <v>-0.50888010540184458</v>
      </c>
    </row>
    <row r="71" spans="1:26" s="24" customFormat="1" hidden="1" outlineLevel="2" x14ac:dyDescent="0.3">
      <c r="A71" s="27"/>
      <c r="B71" s="11" t="str">
        <f>CONCATENATE("          ", "6305", " - ", "FREIGHT OUT")</f>
        <v xml:space="preserve">          6305 - FREIGHT OUT</v>
      </c>
      <c r="C71" s="11"/>
      <c r="D71" s="7"/>
      <c r="E71" s="2"/>
      <c r="F71" s="8">
        <f t="shared" si="34"/>
        <v>0</v>
      </c>
      <c r="G71" s="2"/>
      <c r="H71" s="7">
        <v>175.34</v>
      </c>
      <c r="I71" s="2"/>
      <c r="J71" s="8">
        <f t="shared" si="35"/>
        <v>3.5662049867805939E-4</v>
      </c>
      <c r="K71" s="2"/>
      <c r="L71" s="7">
        <f t="shared" si="36"/>
        <v>-175.34</v>
      </c>
      <c r="M71" s="2"/>
      <c r="N71" s="8">
        <f t="shared" si="37"/>
        <v>-1</v>
      </c>
      <c r="O71" s="11"/>
      <c r="P71" s="7">
        <v>93.19</v>
      </c>
      <c r="Q71" s="2"/>
      <c r="R71" s="8">
        <f t="shared" si="38"/>
        <v>2.1243281575696648E-4</v>
      </c>
      <c r="S71" s="2"/>
      <c r="T71" s="7">
        <v>180.95</v>
      </c>
      <c r="U71" s="2"/>
      <c r="V71" s="8">
        <f t="shared" si="39"/>
        <v>2.5863368035984418E-4</v>
      </c>
      <c r="W71" s="2"/>
      <c r="X71" s="7">
        <f t="shared" si="40"/>
        <v>-87.759999999999991</v>
      </c>
      <c r="Y71" s="2"/>
      <c r="Z71" s="8">
        <f t="shared" si="41"/>
        <v>-0.48499585520862115</v>
      </c>
    </row>
    <row r="72" spans="1:26" s="24" customFormat="1" hidden="1" outlineLevel="2" x14ac:dyDescent="0.3">
      <c r="A72" s="27"/>
      <c r="B72" s="11" t="str">
        <f>CONCATENATE("          ", "6307", " - ", "POSTAGE")</f>
        <v xml:space="preserve">          6307 - POSTAGE</v>
      </c>
      <c r="C72" s="11"/>
      <c r="D72" s="7"/>
      <c r="E72" s="2"/>
      <c r="F72" s="8">
        <f t="shared" si="34"/>
        <v>0</v>
      </c>
      <c r="G72" s="2"/>
      <c r="H72" s="7">
        <v>3.8</v>
      </c>
      <c r="I72" s="2"/>
      <c r="J72" s="8">
        <f t="shared" si="35"/>
        <v>7.7287435552448136E-6</v>
      </c>
      <c r="K72" s="2"/>
      <c r="L72" s="7">
        <f t="shared" si="36"/>
        <v>-3.8</v>
      </c>
      <c r="M72" s="2"/>
      <c r="N72" s="8">
        <f t="shared" si="37"/>
        <v>-1</v>
      </c>
      <c r="O72" s="11"/>
      <c r="P72" s="7"/>
      <c r="Q72" s="2"/>
      <c r="R72" s="8">
        <f t="shared" si="38"/>
        <v>0</v>
      </c>
      <c r="S72" s="2"/>
      <c r="T72" s="7">
        <v>8.8000000000000007</v>
      </c>
      <c r="U72" s="2"/>
      <c r="V72" s="8">
        <f t="shared" si="39"/>
        <v>1.2577929743943792E-5</v>
      </c>
      <c r="W72" s="2"/>
      <c r="X72" s="7">
        <f t="shared" si="40"/>
        <v>-8.8000000000000007</v>
      </c>
      <c r="Y72" s="2"/>
      <c r="Z72" s="8">
        <f t="shared" si="41"/>
        <v>-1</v>
      </c>
    </row>
    <row r="73" spans="1:26" s="28" customFormat="1" outlineLevel="1" collapsed="1" x14ac:dyDescent="0.3">
      <c r="A73" s="29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SUM(OSRRefD22_6x_0)</f>
        <v>0</v>
      </c>
      <c r="E73" s="1"/>
      <c r="F73" s="5">
        <f t="shared" ref="F73:F80" si="42">IF(D$12=0,0,D73/D$12)</f>
        <v>0</v>
      </c>
      <c r="G73" s="1"/>
      <c r="H73" s="1">
        <f>SUM(OSRRefH22_6x_0)</f>
        <v>0</v>
      </c>
      <c r="I73" s="1"/>
      <c r="J73" s="5">
        <f t="shared" ref="J73:J80" si="43">IF(H$12=0,0,H73/H$12)</f>
        <v>0</v>
      </c>
      <c r="K73" s="1"/>
      <c r="L73" s="1">
        <f t="shared" ref="L73:L80" si="44">+D73-H73</f>
        <v>0</v>
      </c>
      <c r="M73" s="1"/>
      <c r="N73" s="5">
        <f t="shared" ref="N73:N80" si="45">IF(H73=0,0,L73/H73)</f>
        <v>0</v>
      </c>
      <c r="O73" s="14"/>
      <c r="P73" s="1">
        <f>SUM(OSRRefP22_6x_0)</f>
        <v>0</v>
      </c>
      <c r="Q73" s="1"/>
      <c r="R73" s="5">
        <f t="shared" ref="R73:R80" si="46">IF(P$12=0,0,P73/P$12)</f>
        <v>0</v>
      </c>
      <c r="S73" s="1"/>
      <c r="T73" s="1">
        <f>SUM(OSRRefT22_6x_0)</f>
        <v>-30.15</v>
      </c>
      <c r="U73" s="1"/>
      <c r="V73" s="5">
        <f t="shared" ref="V73:V80" si="47">IF(T$12=0,0,T73/T$12)</f>
        <v>-4.3093702474989239E-5</v>
      </c>
      <c r="W73" s="1"/>
      <c r="X73" s="1">
        <f t="shared" ref="X73:X80" si="48">+P73-T73</f>
        <v>30.15</v>
      </c>
      <c r="Y73" s="1"/>
      <c r="Z73" s="5">
        <f t="shared" ref="Z73:Z80" si="49">IF(T73=0,0,X73/T73)</f>
        <v>-1</v>
      </c>
    </row>
    <row r="74" spans="1:26" s="24" customFormat="1" hidden="1" outlineLevel="2" x14ac:dyDescent="0.3">
      <c r="A74" s="27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8">
        <f t="shared" si="42"/>
        <v>0</v>
      </c>
      <c r="G74" s="2"/>
      <c r="H74" s="7"/>
      <c r="I74" s="2"/>
      <c r="J74" s="8">
        <f t="shared" si="43"/>
        <v>0</v>
      </c>
      <c r="K74" s="2"/>
      <c r="L74" s="7">
        <f t="shared" si="44"/>
        <v>0</v>
      </c>
      <c r="M74" s="2"/>
      <c r="N74" s="8">
        <f t="shared" si="45"/>
        <v>0</v>
      </c>
      <c r="O74" s="11"/>
      <c r="P74" s="7"/>
      <c r="Q74" s="2"/>
      <c r="R74" s="8">
        <f t="shared" si="46"/>
        <v>0</v>
      </c>
      <c r="S74" s="2"/>
      <c r="T74" s="7">
        <v>-30.15</v>
      </c>
      <c r="U74" s="2"/>
      <c r="V74" s="8">
        <f t="shared" si="47"/>
        <v>-4.3093702474989239E-5</v>
      </c>
      <c r="W74" s="2"/>
      <c r="X74" s="7">
        <f t="shared" si="48"/>
        <v>30.15</v>
      </c>
      <c r="Y74" s="2"/>
      <c r="Z74" s="8">
        <f t="shared" si="49"/>
        <v>-1</v>
      </c>
    </row>
    <row r="75" spans="1:26" s="28" customFormat="1" outlineLevel="1" collapsed="1" x14ac:dyDescent="0.3">
      <c r="A75" s="29"/>
      <c r="B75" s="14" t="str">
        <f>CONCATENATE("     ","Inventory Adjustment                              ")</f>
        <v xml:space="preserve">     Inventory Adjustment                              </v>
      </c>
      <c r="C75" s="14"/>
      <c r="D75" s="1">
        <f>SUM(OSRRefD22_7x_0)</f>
        <v>2020</v>
      </c>
      <c r="E75" s="1"/>
      <c r="F75" s="5">
        <f t="shared" si="42"/>
        <v>5.8828057150700332E-3</v>
      </c>
      <c r="G75" s="1"/>
      <c r="H75" s="1">
        <f>SUM(OSRRefH22_7x_0)</f>
        <v>1250</v>
      </c>
      <c r="I75" s="1"/>
      <c r="J75" s="5">
        <f t="shared" si="43"/>
        <v>2.542349853698952E-3</v>
      </c>
      <c r="K75" s="1"/>
      <c r="L75" s="1">
        <f t="shared" si="44"/>
        <v>770</v>
      </c>
      <c r="M75" s="1"/>
      <c r="N75" s="5">
        <f t="shared" si="45"/>
        <v>0.61599999999999999</v>
      </c>
      <c r="O75" s="14"/>
      <c r="P75" s="1">
        <f>SUM(OSRRefP22_7x_0)</f>
        <v>3490</v>
      </c>
      <c r="Q75" s="1"/>
      <c r="R75" s="5">
        <f t="shared" si="46"/>
        <v>7.9556875951476876E-3</v>
      </c>
      <c r="S75" s="1"/>
      <c r="T75" s="1">
        <f>SUM(OSRRefT22_7x_0)</f>
        <v>2500</v>
      </c>
      <c r="U75" s="1"/>
      <c r="V75" s="5">
        <f t="shared" si="47"/>
        <v>3.5732754954385772E-3</v>
      </c>
      <c r="W75" s="1"/>
      <c r="X75" s="1">
        <f t="shared" si="48"/>
        <v>990</v>
      </c>
      <c r="Y75" s="1"/>
      <c r="Z75" s="5">
        <f t="shared" si="49"/>
        <v>0.39600000000000002</v>
      </c>
    </row>
    <row r="76" spans="1:26" s="24" customFormat="1" hidden="1" outlineLevel="2" x14ac:dyDescent="0.3">
      <c r="A76" s="27"/>
      <c r="B76" s="11" t="str">
        <f>CONCATENATE("          ", "6408", " - ", "INVENTORY ADJUSTMENT")</f>
        <v xml:space="preserve">          6408 - INVENTORY ADJUSTMENT</v>
      </c>
      <c r="C76" s="11"/>
      <c r="D76" s="7">
        <v>2020</v>
      </c>
      <c r="E76" s="2"/>
      <c r="F76" s="8">
        <f t="shared" si="42"/>
        <v>5.8828057150700332E-3</v>
      </c>
      <c r="G76" s="2"/>
      <c r="H76" s="7">
        <v>1250</v>
      </c>
      <c r="I76" s="2"/>
      <c r="J76" s="8">
        <f t="shared" si="43"/>
        <v>2.542349853698952E-3</v>
      </c>
      <c r="K76" s="2"/>
      <c r="L76" s="7">
        <f t="shared" si="44"/>
        <v>770</v>
      </c>
      <c r="M76" s="2"/>
      <c r="N76" s="8">
        <f t="shared" si="45"/>
        <v>0.61599999999999999</v>
      </c>
      <c r="O76" s="11"/>
      <c r="P76" s="7">
        <v>3490</v>
      </c>
      <c r="Q76" s="2"/>
      <c r="R76" s="8">
        <f t="shared" si="46"/>
        <v>7.9556875951476876E-3</v>
      </c>
      <c r="S76" s="2"/>
      <c r="T76" s="7">
        <v>2500</v>
      </c>
      <c r="U76" s="2"/>
      <c r="V76" s="8">
        <f t="shared" si="47"/>
        <v>3.5732754954385772E-3</v>
      </c>
      <c r="W76" s="2"/>
      <c r="X76" s="7">
        <f t="shared" si="48"/>
        <v>990</v>
      </c>
      <c r="Y76" s="2"/>
      <c r="Z76" s="8">
        <f t="shared" si="49"/>
        <v>0.39600000000000002</v>
      </c>
    </row>
    <row r="77" spans="1:26" s="28" customFormat="1" outlineLevel="1" collapsed="1" x14ac:dyDescent="0.3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SUM(OSRRefD22_8x_0)</f>
        <v>1167.48</v>
      </c>
      <c r="E77" s="1"/>
      <c r="F77" s="5">
        <f t="shared" si="42"/>
        <v>3.4000287209059216E-3</v>
      </c>
      <c r="G77" s="1"/>
      <c r="H77" s="1">
        <f>SUM(OSRRefH22_8x_0)</f>
        <v>787.43</v>
      </c>
      <c r="I77" s="1"/>
      <c r="J77" s="5">
        <f t="shared" si="43"/>
        <v>1.6015380362385326E-3</v>
      </c>
      <c r="K77" s="1"/>
      <c r="L77" s="1">
        <f t="shared" si="44"/>
        <v>380.05000000000007</v>
      </c>
      <c r="M77" s="1"/>
      <c r="N77" s="5">
        <f t="shared" si="45"/>
        <v>0.48264607647663932</v>
      </c>
      <c r="O77" s="14"/>
      <c r="P77" s="1">
        <f>SUM(OSRRefP22_8x_0)</f>
        <v>3209.2799999999997</v>
      </c>
      <c r="Q77" s="1"/>
      <c r="R77" s="5">
        <f t="shared" si="46"/>
        <v>7.315767646233688E-3</v>
      </c>
      <c r="S77" s="1"/>
      <c r="T77" s="1">
        <f>SUM(OSRRefT22_8x_0)</f>
        <v>1455.55</v>
      </c>
      <c r="U77" s="1"/>
      <c r="V77" s="5">
        <f t="shared" si="47"/>
        <v>2.0804324589542484E-3</v>
      </c>
      <c r="W77" s="1"/>
      <c r="X77" s="1">
        <f t="shared" si="48"/>
        <v>1753.7299999999998</v>
      </c>
      <c r="Y77" s="1"/>
      <c r="Z77" s="5">
        <f t="shared" si="49"/>
        <v>1.2048572704475971</v>
      </c>
    </row>
    <row r="78" spans="1:26" s="24" customFormat="1" hidden="1" outlineLevel="2" x14ac:dyDescent="0.3">
      <c r="A78" s="27"/>
      <c r="B78" s="11" t="str">
        <f>CONCATENATE("          ", "6235", " - ", "COVID-19 EXPENSES")</f>
        <v xml:space="preserve">          6235 - COVID-19 EXPENSES</v>
      </c>
      <c r="C78" s="11"/>
      <c r="D78" s="7"/>
      <c r="E78" s="2"/>
      <c r="F78" s="8">
        <f t="shared" si="42"/>
        <v>0</v>
      </c>
      <c r="G78" s="2"/>
      <c r="H78" s="7"/>
      <c r="I78" s="2"/>
      <c r="J78" s="8">
        <f t="shared" si="43"/>
        <v>0</v>
      </c>
      <c r="K78" s="2"/>
      <c r="L78" s="7">
        <f t="shared" si="44"/>
        <v>0</v>
      </c>
      <c r="M78" s="2"/>
      <c r="N78" s="8">
        <f t="shared" si="45"/>
        <v>0</v>
      </c>
      <c r="O78" s="11"/>
      <c r="P78" s="7"/>
      <c r="Q78" s="2"/>
      <c r="R78" s="8">
        <f t="shared" si="46"/>
        <v>0</v>
      </c>
      <c r="S78" s="2"/>
      <c r="T78" s="7">
        <v>668.12</v>
      </c>
      <c r="U78" s="2"/>
      <c r="V78" s="8">
        <f t="shared" si="47"/>
        <v>9.5495072960496887E-4</v>
      </c>
      <c r="W78" s="2"/>
      <c r="X78" s="7">
        <f t="shared" si="48"/>
        <v>-668.12</v>
      </c>
      <c r="Y78" s="2"/>
      <c r="Z78" s="8">
        <f t="shared" si="49"/>
        <v>-1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7">
        <v>288.48</v>
      </c>
      <c r="E79" s="2"/>
      <c r="F79" s="8">
        <f t="shared" si="42"/>
        <v>8.4013455083336794E-4</v>
      </c>
      <c r="G79" s="2"/>
      <c r="H79" s="7">
        <v>787.43</v>
      </c>
      <c r="I79" s="2"/>
      <c r="J79" s="8">
        <f t="shared" si="43"/>
        <v>1.6015380362385326E-3</v>
      </c>
      <c r="K79" s="2"/>
      <c r="L79" s="7">
        <f t="shared" si="44"/>
        <v>-498.94999999999993</v>
      </c>
      <c r="M79" s="2"/>
      <c r="N79" s="8">
        <f t="shared" si="45"/>
        <v>-0.63364362546512065</v>
      </c>
      <c r="O79" s="11"/>
      <c r="P79" s="7">
        <v>297.27999999999997</v>
      </c>
      <c r="Q79" s="2"/>
      <c r="R79" s="8">
        <f t="shared" si="46"/>
        <v>6.7766957257464318E-4</v>
      </c>
      <c r="S79" s="2"/>
      <c r="T79" s="7">
        <v>787.43</v>
      </c>
      <c r="U79" s="2"/>
      <c r="V79" s="8">
        <f t="shared" si="47"/>
        <v>1.1254817293492795E-3</v>
      </c>
      <c r="W79" s="2"/>
      <c r="X79" s="7">
        <f t="shared" si="48"/>
        <v>-490.15</v>
      </c>
      <c r="Y79" s="2"/>
      <c r="Z79" s="8">
        <f t="shared" si="49"/>
        <v>-0.62246802890415653</v>
      </c>
    </row>
    <row r="80" spans="1:26" s="24" customFormat="1" hidden="1" outlineLevel="2" x14ac:dyDescent="0.3">
      <c r="A80" s="27"/>
      <c r="B80" s="11" t="str">
        <f>CONCATENATE("          ", "6247", " - ", "STORE SUPPLIES")</f>
        <v xml:space="preserve">          6247 - STORE SUPPLIES</v>
      </c>
      <c r="C80" s="11"/>
      <c r="D80" s="7">
        <v>879</v>
      </c>
      <c r="E80" s="2"/>
      <c r="F80" s="8">
        <f t="shared" si="42"/>
        <v>2.5598941700725538E-3</v>
      </c>
      <c r="G80" s="2"/>
      <c r="H80" s="7"/>
      <c r="I80" s="2"/>
      <c r="J80" s="8">
        <f t="shared" si="43"/>
        <v>0</v>
      </c>
      <c r="K80" s="2"/>
      <c r="L80" s="7">
        <f t="shared" si="44"/>
        <v>879</v>
      </c>
      <c r="M80" s="2"/>
      <c r="N80" s="8">
        <f t="shared" si="45"/>
        <v>0</v>
      </c>
      <c r="O80" s="11"/>
      <c r="P80" s="7">
        <v>2912</v>
      </c>
      <c r="Q80" s="2"/>
      <c r="R80" s="8">
        <f t="shared" si="46"/>
        <v>6.6380980736590453E-3</v>
      </c>
      <c r="S80" s="2"/>
      <c r="T80" s="7"/>
      <c r="U80" s="2"/>
      <c r="V80" s="8">
        <f t="shared" si="47"/>
        <v>0</v>
      </c>
      <c r="W80" s="2"/>
      <c r="X80" s="7">
        <f t="shared" si="48"/>
        <v>2912</v>
      </c>
      <c r="Y80" s="2"/>
      <c r="Z80" s="8">
        <f t="shared" si="49"/>
        <v>0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SUM(OSRRefD22_9x_0)</f>
        <v>168.2</v>
      </c>
      <c r="E81" s="1"/>
      <c r="F81" s="5">
        <f t="shared" ref="F81:F82" si="50">IF(D$12=0,0,D81/D$12)</f>
        <v>4.8984550558157393E-4</v>
      </c>
      <c r="G81" s="1"/>
      <c r="H81" s="1">
        <f>SUM(OSRRefH22_9x_0)</f>
        <v>306.75</v>
      </c>
      <c r="I81" s="1"/>
      <c r="J81" s="5">
        <f t="shared" ref="J81:J82" si="51">IF(H$12=0,0,H81/H$12)</f>
        <v>6.2389265409772284E-4</v>
      </c>
      <c r="K81" s="1"/>
      <c r="L81" s="1">
        <f t="shared" ref="L81:L82" si="52">+D81-H81</f>
        <v>-138.55000000000001</v>
      </c>
      <c r="M81" s="1"/>
      <c r="N81" s="5">
        <f t="shared" ref="N81:N82" si="53">IF(H81=0,0,L81/H81)</f>
        <v>-0.45167074164629178</v>
      </c>
      <c r="O81" s="14"/>
      <c r="P81" s="1">
        <f>SUM(OSRRefP22_9x_0)</f>
        <v>451.5</v>
      </c>
      <c r="Q81" s="1"/>
      <c r="R81" s="5">
        <f t="shared" ref="R81:R82" si="54">IF(P$12=0,0,P81/P$12)</f>
        <v>1.0292243407476163E-3</v>
      </c>
      <c r="S81" s="1"/>
      <c r="T81" s="1">
        <f>SUM(OSRRefT22_9x_0)</f>
        <v>611.54999999999995</v>
      </c>
      <c r="U81" s="1"/>
      <c r="V81" s="5">
        <f t="shared" ref="V81:V82" si="55">IF(T$12=0,0,T81/T$12)</f>
        <v>8.7409465169418468E-4</v>
      </c>
      <c r="W81" s="1"/>
      <c r="X81" s="1">
        <f t="shared" ref="X81:X82" si="56">+P81-T81</f>
        <v>-160.04999999999995</v>
      </c>
      <c r="Y81" s="1"/>
      <c r="Z81" s="5">
        <f t="shared" ref="Z81:Z82" si="57">IF(T81=0,0,X81/T81)</f>
        <v>-0.26171204316899677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7">
        <v>168.2</v>
      </c>
      <c r="E82" s="2"/>
      <c r="F82" s="8">
        <f t="shared" si="50"/>
        <v>4.8984550558157393E-4</v>
      </c>
      <c r="G82" s="2"/>
      <c r="H82" s="7">
        <v>306.75</v>
      </c>
      <c r="I82" s="2"/>
      <c r="J82" s="8">
        <f t="shared" si="51"/>
        <v>6.2389265409772284E-4</v>
      </c>
      <c r="K82" s="2"/>
      <c r="L82" s="7">
        <f t="shared" si="52"/>
        <v>-138.55000000000001</v>
      </c>
      <c r="M82" s="2"/>
      <c r="N82" s="8">
        <f t="shared" si="53"/>
        <v>-0.45167074164629178</v>
      </c>
      <c r="O82" s="11"/>
      <c r="P82" s="7">
        <v>451.5</v>
      </c>
      <c r="Q82" s="2"/>
      <c r="R82" s="8">
        <f t="shared" si="54"/>
        <v>1.0292243407476163E-3</v>
      </c>
      <c r="S82" s="2"/>
      <c r="T82" s="7">
        <v>611.54999999999995</v>
      </c>
      <c r="U82" s="2"/>
      <c r="V82" s="8">
        <f t="shared" si="55"/>
        <v>8.7409465169418468E-4</v>
      </c>
      <c r="W82" s="2"/>
      <c r="X82" s="7">
        <f t="shared" si="56"/>
        <v>-160.04999999999995</v>
      </c>
      <c r="Y82" s="2"/>
      <c r="Z82" s="8">
        <f t="shared" si="57"/>
        <v>-0.26171204316899677</v>
      </c>
    </row>
    <row r="83" spans="1:26" s="61" customFormat="1" x14ac:dyDescent="0.3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3">
      <c r="A84" s="10"/>
      <c r="B84" s="26" t="s">
        <v>292</v>
      </c>
      <c r="C84" s="10"/>
      <c r="D84" s="4">
        <f>SUM(OSRRefD25x_0)</f>
        <v>2187.9499999999998</v>
      </c>
      <c r="E84" s="4"/>
      <c r="F84" s="12">
        <f t="shared" ref="F84:F87" si="58">IF(D$12=0,0,D84/D$12)</f>
        <v>6.3719231506373653E-3</v>
      </c>
      <c r="G84" s="4"/>
      <c r="H84" s="4">
        <f>SUM(OSRRefH25x_0)</f>
        <v>-138.80000000000001</v>
      </c>
      <c r="I84" s="4"/>
      <c r="J84" s="12">
        <f t="shared" ref="J84:J87" si="59">IF(H$12=0,0,H84/H$12)</f>
        <v>-2.8230252775473163E-4</v>
      </c>
      <c r="K84" s="4"/>
      <c r="L84" s="4">
        <f t="shared" ref="L84:L87" si="60">+D84-H84</f>
        <v>2326.75</v>
      </c>
      <c r="M84" s="4"/>
      <c r="N84" s="12">
        <f t="shared" ref="N84:N87" si="61">IF(H84=0,0,L84/H84)</f>
        <v>-16.763328530259365</v>
      </c>
      <c r="O84" s="10"/>
      <c r="P84" s="4">
        <f>SUM(OSRRefP25x_0)</f>
        <v>2381.33</v>
      </c>
      <c r="Q84" s="4"/>
      <c r="R84" s="12">
        <f t="shared" ref="R84:R87" si="62">IF(P$12=0,0,P84/P$12)</f>
        <v>5.4284004415338233E-3</v>
      </c>
      <c r="S84" s="4"/>
      <c r="T84" s="4">
        <f>SUM(OSRRefT25x_0)</f>
        <v>-514.16</v>
      </c>
      <c r="U84" s="4"/>
      <c r="V84" s="12">
        <f t="shared" ref="V84:V87" si="63">IF(T$12=0,0,T84/T$12)</f>
        <v>-7.3489413149387952E-4</v>
      </c>
      <c r="W84" s="4"/>
      <c r="X84" s="4">
        <f t="shared" ref="X84:X87" si="64">+P84-T84</f>
        <v>2895.49</v>
      </c>
      <c r="Y84" s="4"/>
      <c r="Z84" s="12">
        <f t="shared" ref="Z84:Z87" si="65">IF(T84=0,0,X84/T84)</f>
        <v>-5.6314960323634669</v>
      </c>
    </row>
    <row r="85" spans="1:26" s="24" customFormat="1" hidden="1" outlineLevel="1" x14ac:dyDescent="0.3">
      <c r="A85" s="44"/>
      <c r="B85" s="11" t="str">
        <f>CONCATENATE("          ", "4187", " - ", "NON-TAXABLE SALES-COMPUTER REP")</f>
        <v xml:space="preserve">          4187 - NON-TAXABLE SALES-COMPUTER REP</v>
      </c>
      <c r="C85" s="11"/>
      <c r="D85" s="2">
        <f>0</f>
        <v>0</v>
      </c>
      <c r="E85" s="2"/>
      <c r="F85" s="19">
        <f t="shared" si="58"/>
        <v>0</v>
      </c>
      <c r="G85" s="2"/>
      <c r="H85" s="2">
        <f t="shared" ref="H85:H86" si="66">0</f>
        <v>0</v>
      </c>
      <c r="I85" s="2"/>
      <c r="J85" s="19">
        <f t="shared" si="59"/>
        <v>0</v>
      </c>
      <c r="K85" s="2"/>
      <c r="L85" s="2">
        <f t="shared" si="60"/>
        <v>0</v>
      </c>
      <c r="M85" s="2"/>
      <c r="N85" s="19">
        <f t="shared" si="61"/>
        <v>0</v>
      </c>
      <c r="O85" s="11"/>
      <c r="P85" s="2">
        <f>0</f>
        <v>0</v>
      </c>
      <c r="Q85" s="2"/>
      <c r="R85" s="19">
        <f t="shared" si="62"/>
        <v>0</v>
      </c>
      <c r="S85" s="2"/>
      <c r="T85" s="2">
        <f>--19.99</f>
        <v>19.989999999999998</v>
      </c>
      <c r="U85" s="2"/>
      <c r="V85" s="19">
        <f t="shared" si="63"/>
        <v>2.8571910861526861E-5</v>
      </c>
      <c r="W85" s="2"/>
      <c r="X85" s="2">
        <f t="shared" si="64"/>
        <v>-19.989999999999998</v>
      </c>
      <c r="Y85" s="2"/>
      <c r="Z85" s="19">
        <f t="shared" si="65"/>
        <v>-1</v>
      </c>
    </row>
    <row r="86" spans="1:26" s="24" customFormat="1" hidden="1" outlineLevel="1" x14ac:dyDescent="0.3">
      <c r="A86" s="44"/>
      <c r="B86" s="11" t="str">
        <f>CONCATENATE("          ", "9087", " - ", "")</f>
        <v xml:space="preserve">          9087 - </v>
      </c>
      <c r="C86" s="11"/>
      <c r="D86" s="2">
        <f>--946.54</f>
        <v>946.54</v>
      </c>
      <c r="E86" s="2"/>
      <c r="F86" s="19">
        <f t="shared" si="58"/>
        <v>2.7565895651199945E-3</v>
      </c>
      <c r="G86" s="2"/>
      <c r="H86" s="2">
        <f t="shared" si="66"/>
        <v>0</v>
      </c>
      <c r="I86" s="2"/>
      <c r="J86" s="19">
        <f t="shared" si="59"/>
        <v>0</v>
      </c>
      <c r="K86" s="2"/>
      <c r="L86" s="2">
        <f t="shared" si="60"/>
        <v>946.54</v>
      </c>
      <c r="M86" s="2"/>
      <c r="N86" s="19">
        <f t="shared" si="61"/>
        <v>0</v>
      </c>
      <c r="O86" s="11"/>
      <c r="P86" s="2">
        <f>--1020.01</f>
        <v>1020.01</v>
      </c>
      <c r="Q86" s="2"/>
      <c r="R86" s="19">
        <f t="shared" si="62"/>
        <v>2.3251807747640667E-3</v>
      </c>
      <c r="S86" s="2"/>
      <c r="T86" s="2">
        <f>0</f>
        <v>0</v>
      </c>
      <c r="U86" s="2"/>
      <c r="V86" s="19">
        <f t="shared" si="63"/>
        <v>0</v>
      </c>
      <c r="W86" s="2"/>
      <c r="X86" s="2">
        <f t="shared" si="64"/>
        <v>1020.01</v>
      </c>
      <c r="Y86" s="2"/>
      <c r="Z86" s="19">
        <f t="shared" si="65"/>
        <v>0</v>
      </c>
    </row>
    <row r="87" spans="1:26" s="24" customFormat="1" hidden="1" outlineLevel="1" x14ac:dyDescent="0.3">
      <c r="A87" s="44"/>
      <c r="B87" s="11" t="str">
        <f>CONCATENATE("          ", "9150", " - ", "MISC. INCOME")</f>
        <v xml:space="preserve">          9150 - MISC. INCOME</v>
      </c>
      <c r="C87" s="11"/>
      <c r="D87" s="2">
        <f>--1241.41</f>
        <v>1241.4100000000001</v>
      </c>
      <c r="E87" s="2"/>
      <c r="F87" s="19">
        <f t="shared" si="58"/>
        <v>3.6153335855173712E-3</v>
      </c>
      <c r="G87" s="2"/>
      <c r="H87" s="2">
        <f>-138.8</f>
        <v>-138.80000000000001</v>
      </c>
      <c r="I87" s="2"/>
      <c r="J87" s="19">
        <f t="shared" si="59"/>
        <v>-2.8230252775473163E-4</v>
      </c>
      <c r="K87" s="2"/>
      <c r="L87" s="2">
        <f t="shared" si="60"/>
        <v>1380.21</v>
      </c>
      <c r="M87" s="2"/>
      <c r="N87" s="19">
        <f t="shared" si="61"/>
        <v>-9.9438760806916413</v>
      </c>
      <c r="O87" s="11"/>
      <c r="P87" s="2">
        <f>--1361.32</f>
        <v>1361.32</v>
      </c>
      <c r="Q87" s="2"/>
      <c r="R87" s="19">
        <f t="shared" si="62"/>
        <v>3.1032196667697565E-3</v>
      </c>
      <c r="S87" s="2"/>
      <c r="T87" s="2">
        <f>-534.15</f>
        <v>-534.15</v>
      </c>
      <c r="U87" s="2"/>
      <c r="V87" s="19">
        <f t="shared" si="63"/>
        <v>-7.6346604235540637E-4</v>
      </c>
      <c r="W87" s="2"/>
      <c r="X87" s="2">
        <f t="shared" si="64"/>
        <v>1895.4699999999998</v>
      </c>
      <c r="Y87" s="2"/>
      <c r="Z87" s="19">
        <f t="shared" si="65"/>
        <v>-3.5485724983618829</v>
      </c>
    </row>
    <row r="88" spans="1:26" x14ac:dyDescent="0.3">
      <c r="A88" s="9"/>
      <c r="B88" s="10"/>
      <c r="C88" s="10"/>
      <c r="D88" s="3"/>
      <c r="E88" s="3"/>
      <c r="F88" s="6"/>
      <c r="G88" s="3"/>
      <c r="H88" s="3"/>
      <c r="I88" s="3"/>
      <c r="J88" s="6"/>
      <c r="K88" s="3"/>
      <c r="L88" s="3"/>
      <c r="M88" s="3"/>
      <c r="N88" s="6"/>
      <c r="O88" s="10"/>
      <c r="P88" s="3"/>
      <c r="Q88" s="3"/>
      <c r="R88" s="6"/>
      <c r="S88" s="3"/>
      <c r="T88" s="3"/>
      <c r="U88" s="3"/>
      <c r="V88" s="6"/>
      <c r="W88" s="3"/>
      <c r="X88" s="3"/>
      <c r="Y88" s="3"/>
      <c r="Z88" s="6"/>
    </row>
    <row r="89" spans="1:26" s="23" customFormat="1" x14ac:dyDescent="0.3">
      <c r="A89" s="10"/>
      <c r="B89" s="25" t="s">
        <v>276</v>
      </c>
      <c r="C89" s="25"/>
      <c r="D89" s="20">
        <f>+D46-D48+D84</f>
        <v>39728.07</v>
      </c>
      <c r="E89" s="13"/>
      <c r="F89" s="22">
        <f>IF(D$12=0,0,D89/D$12)</f>
        <v>0.11569926596272392</v>
      </c>
      <c r="G89" s="13"/>
      <c r="H89" s="20">
        <f>+H46-H48+H84</f>
        <v>-2067.4899999999461</v>
      </c>
      <c r="I89" s="13"/>
      <c r="J89" s="22">
        <f>IF(H$12=0,0,H89/H$12)</f>
        <v>-4.2050263192191274E-3</v>
      </c>
      <c r="K89" s="15"/>
      <c r="L89" s="20">
        <f>+D89-H89</f>
        <v>41795.559999999947</v>
      </c>
      <c r="M89" s="15"/>
      <c r="N89" s="22">
        <f>IF(H89=0,0,L89/H89)</f>
        <v>-20.215604428558802</v>
      </c>
      <c r="O89" s="26"/>
      <c r="P89" s="20">
        <f>+P46-P48+P84</f>
        <v>35971.609999999957</v>
      </c>
      <c r="Q89" s="13"/>
      <c r="R89" s="22">
        <f>IF(P$12=0,0,P89/P$12)</f>
        <v>8.1999682365183429E-2</v>
      </c>
      <c r="S89" s="13"/>
      <c r="T89" s="20">
        <f>+T46-T48+T84</f>
        <v>9788.5600000001759</v>
      </c>
      <c r="U89" s="13"/>
      <c r="V89" s="22">
        <f>IF(T$12=0,0,T89/T$12)</f>
        <v>1.3990888633452346E-2</v>
      </c>
      <c r="W89" s="15"/>
      <c r="X89" s="20">
        <f>+P89-T89</f>
        <v>26183.049999999781</v>
      </c>
      <c r="Y89" s="15"/>
      <c r="Z89" s="22">
        <f>IF(T89=0,0,X89/T89)</f>
        <v>2.6748622882220991</v>
      </c>
    </row>
    <row r="90" spans="1:26" x14ac:dyDescent="0.3">
      <c r="A90" s="9"/>
      <c r="B90" s="10"/>
      <c r="C90" s="9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x14ac:dyDescent="0.3">
      <c r="A91" s="51"/>
      <c r="B91" s="10" t="s">
        <v>127</v>
      </c>
      <c r="C91" s="10"/>
      <c r="D91" s="4">
        <v>21522.15</v>
      </c>
      <c r="E91" s="4"/>
      <c r="F91" s="12">
        <f>IF(D$12=0,0,D91/D$12)</f>
        <v>6.2678528228017089E-2</v>
      </c>
      <c r="G91" s="4"/>
      <c r="H91" s="4">
        <v>17925.13</v>
      </c>
      <c r="I91" s="4"/>
      <c r="J91" s="12">
        <f>IF(H$12=0,0,H91/H$12)</f>
        <v>3.6457561306427758E-2</v>
      </c>
      <c r="K91" s="4"/>
      <c r="L91" s="4">
        <f>+D91-H91</f>
        <v>3597.0200000000004</v>
      </c>
      <c r="M91" s="4"/>
      <c r="N91" s="12">
        <f>IF(H91=0,0,L91/H91)</f>
        <v>0.20066911648618449</v>
      </c>
      <c r="O91" s="10"/>
      <c r="P91" s="4">
        <v>65553.27</v>
      </c>
      <c r="Q91" s="4"/>
      <c r="R91" s="12">
        <f>IF(P$12=0,0,P91/P$12)</f>
        <v>0.14943304783964675</v>
      </c>
      <c r="S91" s="4"/>
      <c r="T91" s="4">
        <v>118124.61</v>
      </c>
      <c r="U91" s="4"/>
      <c r="V91" s="12">
        <f>IF(T$12=0,0,T91/T$12)</f>
        <v>0.16883670972849549</v>
      </c>
      <c r="W91" s="4"/>
      <c r="X91" s="4">
        <f>+P91-T91</f>
        <v>-52571.34</v>
      </c>
      <c r="Y91" s="4"/>
      <c r="Z91" s="12">
        <f>IF(T91=0,0,X91/T91)</f>
        <v>-0.44504985032331534</v>
      </c>
    </row>
    <row r="92" spans="1:26" x14ac:dyDescent="0.3">
      <c r="A92" s="9"/>
      <c r="B92" s="10"/>
      <c r="C92" s="10"/>
      <c r="D92" s="3"/>
      <c r="E92" s="3"/>
      <c r="F92" s="6"/>
      <c r="G92" s="3"/>
      <c r="H92" s="3"/>
      <c r="I92" s="3"/>
      <c r="J92" s="6"/>
      <c r="K92" s="3"/>
      <c r="L92" s="3"/>
      <c r="M92" s="3"/>
      <c r="N92" s="6"/>
      <c r="O92" s="10"/>
      <c r="P92" s="3"/>
      <c r="Q92" s="3"/>
      <c r="R92" s="6"/>
      <c r="S92" s="3"/>
      <c r="T92" s="3"/>
      <c r="U92" s="3"/>
      <c r="V92" s="6"/>
      <c r="W92" s="3"/>
      <c r="X92" s="3"/>
      <c r="Y92" s="3"/>
      <c r="Z92" s="6"/>
    </row>
    <row r="93" spans="1:26" s="23" customFormat="1" ht="15" thickBot="1" x14ac:dyDescent="0.35">
      <c r="A93" s="10"/>
      <c r="B93" s="25" t="s">
        <v>125</v>
      </c>
      <c r="C93" s="25"/>
      <c r="D93" s="33">
        <f>+D89-D91</f>
        <v>18205.919999999998</v>
      </c>
      <c r="E93" s="13"/>
      <c r="F93" s="36">
        <f>IF(D$12=0,0,D93/D$12)</f>
        <v>5.3020737734706835E-2</v>
      </c>
      <c r="G93" s="13"/>
      <c r="H93" s="33">
        <f>+H89-H91</f>
        <v>-19992.619999999948</v>
      </c>
      <c r="I93" s="13"/>
      <c r="J93" s="36">
        <f>IF(H$12=0,0,H93/H$12)</f>
        <v>-4.0662587625646889E-2</v>
      </c>
      <c r="K93" s="15"/>
      <c r="L93" s="33">
        <f>D93-H93</f>
        <v>38198.53999999995</v>
      </c>
      <c r="M93" s="15"/>
      <c r="N93" s="36">
        <f>IF(H93=0,0,L93/H93)</f>
        <v>-1.9106320232165694</v>
      </c>
      <c r="O93" s="26"/>
      <c r="P93" s="33">
        <f>+P89-P91</f>
        <v>-29581.660000000047</v>
      </c>
      <c r="Q93" s="13"/>
      <c r="R93" s="36">
        <f>IF(P$12=0,0,P93/P$12)</f>
        <v>-6.7433365474463311E-2</v>
      </c>
      <c r="S93" s="13"/>
      <c r="T93" s="33">
        <f>+T89-T91</f>
        <v>-108336.04999999983</v>
      </c>
      <c r="U93" s="13"/>
      <c r="V93" s="36">
        <f>IF(T$12=0,0,T93/T$12)</f>
        <v>-0.15484582109504313</v>
      </c>
      <c r="W93" s="15"/>
      <c r="X93" s="33">
        <f>P93-T93</f>
        <v>78754.389999999781</v>
      </c>
      <c r="Y93" s="15"/>
      <c r="Z93" s="36">
        <f>IF(T93=0,0,X93/T93)</f>
        <v>-0.72694537044686336</v>
      </c>
    </row>
    <row r="94" spans="1:26" ht="15" thickTop="1" x14ac:dyDescent="0.3">
      <c r="A94" s="9"/>
      <c r="B94" s="9"/>
      <c r="C94" s="9"/>
      <c r="D94" s="3"/>
      <c r="E94" s="3"/>
      <c r="F94" s="6"/>
      <c r="G94" s="3"/>
      <c r="H94" s="3"/>
      <c r="I94" s="3"/>
      <c r="J94" s="6"/>
      <c r="K94" s="3"/>
      <c r="L94" s="3"/>
      <c r="M94" s="3"/>
      <c r="N94" s="6"/>
      <c r="P94" s="3"/>
      <c r="Q94" s="3"/>
      <c r="R94" s="6"/>
      <c r="S94" s="3"/>
      <c r="T94" s="3"/>
      <c r="U94" s="3"/>
      <c r="V94" s="6"/>
      <c r="W94" s="3"/>
      <c r="X94" s="3"/>
      <c r="Y94" s="3"/>
      <c r="Z94" s="6"/>
    </row>
    <row r="95" spans="1:26" x14ac:dyDescent="0.3">
      <c r="A95" s="9"/>
      <c r="B95" s="9"/>
      <c r="C95" s="9"/>
      <c r="D95" s="3"/>
      <c r="E95" s="3"/>
      <c r="F95" s="6"/>
      <c r="G95" s="3"/>
      <c r="H95" s="3"/>
      <c r="I95" s="3"/>
      <c r="J95" s="6"/>
      <c r="K95" s="3"/>
      <c r="L95" s="3"/>
      <c r="M95" s="3"/>
      <c r="N95" s="6"/>
      <c r="P95" s="3"/>
      <c r="Q95" s="3"/>
      <c r="R95" s="6"/>
      <c r="S95" s="3"/>
      <c r="T95" s="3"/>
      <c r="U95" s="3"/>
      <c r="V95" s="6"/>
      <c r="W95" s="3"/>
      <c r="X95" s="3"/>
      <c r="Y95" s="3"/>
      <c r="Z95" s="6"/>
    </row>
    <row r="96" spans="1:26" s="23" customFormat="1" ht="15" thickBot="1" x14ac:dyDescent="0.35">
      <c r="A96" s="10"/>
      <c r="B96" s="25" t="s">
        <v>293</v>
      </c>
      <c r="C96" s="25"/>
      <c r="D96" s="30">
        <f>SUM(D93:D95)</f>
        <v>18205.919999999998</v>
      </c>
      <c r="E96" s="13"/>
      <c r="F96" s="31">
        <f>IF(D$12=0,0,D96/D$12)</f>
        <v>5.3020737734706835E-2</v>
      </c>
      <c r="G96" s="13"/>
      <c r="H96" s="30">
        <f>SUM(H93:H95)</f>
        <v>-19992.619999999948</v>
      </c>
      <c r="I96" s="13"/>
      <c r="J96" s="31">
        <f>IF(H$12=0,0,H96/H$12)</f>
        <v>-4.0662587625646889E-2</v>
      </c>
      <c r="K96" s="15"/>
      <c r="L96" s="30">
        <f>+D96-H96</f>
        <v>38198.53999999995</v>
      </c>
      <c r="M96" s="15"/>
      <c r="N96" s="31">
        <f>IF(H96=0,0,L96/H96)</f>
        <v>-1.9106320232165694</v>
      </c>
      <c r="O96" s="26"/>
      <c r="P96" s="30">
        <f>SUM(P93:P95)</f>
        <v>-29581.660000000047</v>
      </c>
      <c r="Q96" s="13"/>
      <c r="R96" s="31">
        <f>IF(P$12=0,0,P96/P$12)</f>
        <v>-6.7433365474463311E-2</v>
      </c>
      <c r="S96" s="13"/>
      <c r="T96" s="30">
        <f>SUM(T93:T95)</f>
        <v>-108336.04999999983</v>
      </c>
      <c r="U96" s="13"/>
      <c r="V96" s="31">
        <f>IF(T$12=0,0,T96/T$12)</f>
        <v>-0.15484582109504313</v>
      </c>
      <c r="W96" s="15"/>
      <c r="X96" s="30">
        <f>+P96-T96</f>
        <v>78754.389999999781</v>
      </c>
      <c r="Y96" s="15"/>
      <c r="Z96" s="31">
        <f>IF(T96=0,0,X96/T96)</f>
        <v>-0.72694537044686336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59">
        <v>44470.840536192132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A100" s="9"/>
      <c r="B100" s="52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3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","317", " - ", "Computer Store")</f>
        <v>Department 317 - Computer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343373.57</v>
      </c>
      <c r="E12" s="4"/>
      <c r="F12" s="12"/>
      <c r="G12" s="4"/>
      <c r="H12" s="4">
        <f>SUM(OSRRefH13x_0)</f>
        <v>491671.12000000005</v>
      </c>
      <c r="I12" s="4"/>
      <c r="J12" s="12"/>
      <c r="K12" s="4"/>
      <c r="L12" s="4">
        <f t="shared" ref="L12:L31" si="0">+D12-H12</f>
        <v>-148297.55000000005</v>
      </c>
      <c r="M12" s="4"/>
      <c r="N12" s="12">
        <f t="shared" ref="N12:N31" si="1">IF(H12=0,0,L12/H12)</f>
        <v>-0.30161940363713052</v>
      </c>
      <c r="O12" s="10"/>
      <c r="P12" s="4">
        <f>SUM(OSRRefP13x_0)</f>
        <v>438679.86999999994</v>
      </c>
      <c r="Q12" s="4"/>
      <c r="R12" s="12"/>
      <c r="S12" s="4"/>
      <c r="T12" s="4">
        <f>SUM(OSRRefT13x_0)</f>
        <v>699638.19000000018</v>
      </c>
      <c r="U12" s="4"/>
      <c r="V12" s="12"/>
      <c r="W12" s="4"/>
      <c r="X12" s="4">
        <f t="shared" ref="X12:X31" si="2">+P12-T12</f>
        <v>-260958.32000000024</v>
      </c>
      <c r="Y12" s="4"/>
      <c r="Z12" s="12">
        <f t="shared" ref="Z12:Z31" si="3">IF(T12=0,0,X12/T12)</f>
        <v>-0.37299038807472784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--300209.47</f>
        <v>300209.46999999997</v>
      </c>
      <c r="E13" s="2"/>
      <c r="F13" s="19"/>
      <c r="G13" s="2"/>
      <c r="H13" s="2">
        <f>-803.28</f>
        <v>-803.28</v>
      </c>
      <c r="I13" s="2"/>
      <c r="J13" s="19"/>
      <c r="K13" s="2"/>
      <c r="L13" s="2">
        <f t="shared" si="0"/>
        <v>301012.75</v>
      </c>
      <c r="M13" s="2"/>
      <c r="N13" s="19">
        <f t="shared" si="1"/>
        <v>-374.72954635992431</v>
      </c>
      <c r="O13" s="11"/>
      <c r="P13" s="2">
        <f>--382165.73</f>
        <v>382165.73</v>
      </c>
      <c r="Q13" s="2"/>
      <c r="R13" s="19"/>
      <c r="S13" s="2"/>
      <c r="T13" s="2">
        <f>-1174.19</f>
        <v>-1174.19</v>
      </c>
      <c r="U13" s="2"/>
      <c r="V13" s="19"/>
      <c r="W13" s="2"/>
      <c r="X13" s="2">
        <f t="shared" si="2"/>
        <v>383339.92</v>
      </c>
      <c r="Y13" s="2"/>
      <c r="Z13" s="19">
        <f t="shared" si="3"/>
        <v>-326.47179757960805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--16305.86</f>
        <v>16305.86</v>
      </c>
      <c r="I14" s="2"/>
      <c r="J14" s="19"/>
      <c r="K14" s="2"/>
      <c r="L14" s="2">
        <f t="shared" si="0"/>
        <v>-16305.86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--37863.02</f>
        <v>37863.019999999997</v>
      </c>
      <c r="U14" s="2"/>
      <c r="V14" s="19"/>
      <c r="W14" s="2"/>
      <c r="X14" s="2">
        <f t="shared" si="2"/>
        <v>-37863.019999999997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--403983.14</f>
        <v>403983.14</v>
      </c>
      <c r="I15" s="2"/>
      <c r="J15" s="19"/>
      <c r="K15" s="2"/>
      <c r="L15" s="2">
        <f t="shared" si="0"/>
        <v>-403983.14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--541212.01</f>
        <v>541212.01</v>
      </c>
      <c r="U15" s="2"/>
      <c r="V15" s="19"/>
      <c r="W15" s="2"/>
      <c r="X15" s="2">
        <f t="shared" si="2"/>
        <v>-541212.01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--42925.21</f>
        <v>42925.21</v>
      </c>
      <c r="I16" s="2"/>
      <c r="J16" s="19"/>
      <c r="K16" s="2"/>
      <c r="L16" s="2">
        <f t="shared" si="0"/>
        <v>-42925.21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--49715.36</f>
        <v>49715.360000000001</v>
      </c>
      <c r="U16" s="2"/>
      <c r="V16" s="19"/>
      <c r="W16" s="2"/>
      <c r="X16" s="2">
        <f t="shared" si="2"/>
        <v>-49715.360000000001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--129</f>
        <v>129</v>
      </c>
      <c r="I17" s="2"/>
      <c r="J17" s="19"/>
      <c r="K17" s="2"/>
      <c r="L17" s="2">
        <f t="shared" si="0"/>
        <v>-129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--1308.27</f>
        <v>1308.27</v>
      </c>
      <c r="I18" s="2"/>
      <c r="J18" s="19"/>
      <c r="K18" s="2"/>
      <c r="L18" s="2">
        <f t="shared" si="0"/>
        <v>-1308.27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--27267.48</f>
        <v>27267.48</v>
      </c>
      <c r="U18" s="2"/>
      <c r="V18" s="19"/>
      <c r="W18" s="2"/>
      <c r="X18" s="2">
        <f t="shared" si="2"/>
        <v>-27267.48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--75809.9</f>
        <v>75809.899999999994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75809.899999999994</v>
      </c>
      <c r="M19" s="2"/>
      <c r="N19" s="19">
        <f t="shared" si="1"/>
        <v>0</v>
      </c>
      <c r="O19" s="11"/>
      <c r="P19" s="2">
        <f>--116777.88</f>
        <v>116777.88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116777.88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--2349.29</f>
        <v>2349.29</v>
      </c>
      <c r="I20" s="2"/>
      <c r="J20" s="19"/>
      <c r="K20" s="2"/>
      <c r="L20" s="2">
        <f t="shared" si="0"/>
        <v>-2349.29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--2639.27</f>
        <v>2639.27</v>
      </c>
      <c r="U20" s="2"/>
      <c r="V20" s="19"/>
      <c r="W20" s="2"/>
      <c r="X20" s="2">
        <f t="shared" si="2"/>
        <v>-2639.27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--46190.39</f>
        <v>46190.39</v>
      </c>
      <c r="I21" s="2"/>
      <c r="J21" s="19"/>
      <c r="K21" s="2"/>
      <c r="L21" s="2">
        <f t="shared" si="0"/>
        <v>-46190.39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--82067.38</f>
        <v>82067.38</v>
      </c>
      <c r="U21" s="2"/>
      <c r="V21" s="19"/>
      <c r="W21" s="2"/>
      <c r="X21" s="2">
        <f t="shared" si="2"/>
        <v>-82067.38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--1759.83</f>
        <v>1759.83</v>
      </c>
      <c r="I22" s="2"/>
      <c r="J22" s="19"/>
      <c r="K22" s="2"/>
      <c r="L22" s="2">
        <f t="shared" si="0"/>
        <v>-1759.83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--3119.68</f>
        <v>3119.68</v>
      </c>
      <c r="U22" s="2"/>
      <c r="V22" s="19"/>
      <c r="W22" s="2"/>
      <c r="X22" s="2">
        <f t="shared" si="2"/>
        <v>-3119.68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--4610.75</f>
        <v>4610.75</v>
      </c>
      <c r="I23" s="2"/>
      <c r="J23" s="19"/>
      <c r="K23" s="2"/>
      <c r="L23" s="2">
        <f t="shared" si="0"/>
        <v>-4610.75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--10798.49</f>
        <v>10798.49</v>
      </c>
      <c r="U23" s="2"/>
      <c r="V23" s="19"/>
      <c r="W23" s="2"/>
      <c r="X23" s="2">
        <f t="shared" si="2"/>
        <v>-10798.49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--257.95</f>
        <v>257.95</v>
      </c>
      <c r="I24" s="2"/>
      <c r="J24" s="19"/>
      <c r="K24" s="2"/>
      <c r="L24" s="2">
        <f t="shared" si="0"/>
        <v>-257.95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--412.9</f>
        <v>412.9</v>
      </c>
      <c r="U24" s="2"/>
      <c r="V24" s="19"/>
      <c r="W24" s="2"/>
      <c r="X24" s="2">
        <f t="shared" si="2"/>
        <v>-412.9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-32397.97</f>
        <v>-32397.97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-32397.97</v>
      </c>
      <c r="M25" s="2"/>
      <c r="N25" s="19">
        <f t="shared" si="1"/>
        <v>0</v>
      </c>
      <c r="O25" s="11"/>
      <c r="P25" s="2">
        <f>-59616.91</f>
        <v>-59616.91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-59616.91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29" si="8">0</f>
        <v>0</v>
      </c>
      <c r="E26" s="2"/>
      <c r="F26" s="19"/>
      <c r="G26" s="2"/>
      <c r="H26" s="2">
        <f>-7424.23</f>
        <v>-7424.23</v>
      </c>
      <c r="I26" s="2"/>
      <c r="J26" s="19"/>
      <c r="K26" s="2"/>
      <c r="L26" s="2">
        <f t="shared" si="0"/>
        <v>7424.23</v>
      </c>
      <c r="M26" s="2"/>
      <c r="N26" s="19">
        <f t="shared" si="1"/>
        <v>-1</v>
      </c>
      <c r="O26" s="11"/>
      <c r="P26" s="2">
        <f t="shared" ref="P26:P29" si="9">0</f>
        <v>0</v>
      </c>
      <c r="Q26" s="2"/>
      <c r="R26" s="19"/>
      <c r="S26" s="2"/>
      <c r="T26" s="2">
        <f>-13716.22</f>
        <v>-13716.22</v>
      </c>
      <c r="U26" s="2"/>
      <c r="V26" s="19"/>
      <c r="W26" s="2"/>
      <c r="X26" s="2">
        <f t="shared" si="2"/>
        <v>13716.22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8"/>
        <v>0</v>
      </c>
      <c r="E27" s="2"/>
      <c r="F27" s="19"/>
      <c r="G27" s="2"/>
      <c r="H27" s="2">
        <f>-15442</f>
        <v>-15442</v>
      </c>
      <c r="I27" s="2"/>
      <c r="J27" s="19"/>
      <c r="K27" s="2"/>
      <c r="L27" s="2">
        <f t="shared" si="0"/>
        <v>15442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-33649</f>
        <v>-33649</v>
      </c>
      <c r="U27" s="2"/>
      <c r="V27" s="19"/>
      <c r="W27" s="2"/>
      <c r="X27" s="2">
        <f t="shared" si="2"/>
        <v>33649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8"/>
        <v>0</v>
      </c>
      <c r="E28" s="2"/>
      <c r="F28" s="19"/>
      <c r="G28" s="2"/>
      <c r="H28" s="2">
        <f>-699.9</f>
        <v>-699.9</v>
      </c>
      <c r="I28" s="2"/>
      <c r="J28" s="19"/>
      <c r="K28" s="2"/>
      <c r="L28" s="2">
        <f t="shared" si="0"/>
        <v>699.9</v>
      </c>
      <c r="M28" s="2"/>
      <c r="N28" s="19">
        <f t="shared" si="1"/>
        <v>-1</v>
      </c>
      <c r="O28" s="11"/>
      <c r="P28" s="2">
        <f t="shared" si="9"/>
        <v>0</v>
      </c>
      <c r="Q28" s="2"/>
      <c r="R28" s="19"/>
      <c r="S28" s="2"/>
      <c r="T28" s="2">
        <f>-1518.83</f>
        <v>-1518.83</v>
      </c>
      <c r="U28" s="2"/>
      <c r="V28" s="19"/>
      <c r="W28" s="2"/>
      <c r="X28" s="2">
        <f t="shared" si="2"/>
        <v>1518.83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 t="shared" si="8"/>
        <v>0</v>
      </c>
      <c r="E29" s="2"/>
      <c r="F29" s="19"/>
      <c r="G29" s="2"/>
      <c r="H29" s="2">
        <f>-153.96</f>
        <v>-153.96</v>
      </c>
      <c r="I29" s="2"/>
      <c r="J29" s="19"/>
      <c r="K29" s="2"/>
      <c r="L29" s="2">
        <f t="shared" si="0"/>
        <v>153.96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-153.96</f>
        <v>-153.96</v>
      </c>
      <c r="U29" s="2"/>
      <c r="V29" s="19"/>
      <c r="W29" s="2"/>
      <c r="X29" s="2">
        <f t="shared" si="2"/>
        <v>153.96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"4300", " - ", "NON-TAX RETURNS")</f>
        <v xml:space="preserve">          4300 - NON-TAX RETURNS</v>
      </c>
      <c r="C30" s="11"/>
      <c r="D30" s="2">
        <f>-247.83</f>
        <v>-247.83</v>
      </c>
      <c r="E30" s="2"/>
      <c r="F30" s="19"/>
      <c r="G30" s="2"/>
      <c r="H30" s="2">
        <f>0</f>
        <v>0</v>
      </c>
      <c r="I30" s="2"/>
      <c r="J30" s="19"/>
      <c r="K30" s="2"/>
      <c r="L30" s="2">
        <f t="shared" si="0"/>
        <v>-247.83</v>
      </c>
      <c r="M30" s="2"/>
      <c r="N30" s="19">
        <f t="shared" si="1"/>
        <v>0</v>
      </c>
      <c r="O30" s="11"/>
      <c r="P30" s="2">
        <f>-646.83</f>
        <v>-646.83000000000004</v>
      </c>
      <c r="Q30" s="2"/>
      <c r="R30" s="19"/>
      <c r="S30" s="2"/>
      <c r="T30" s="2">
        <f>0</f>
        <v>0</v>
      </c>
      <c r="U30" s="2"/>
      <c r="V30" s="19"/>
      <c r="W30" s="2"/>
      <c r="X30" s="2">
        <f t="shared" si="2"/>
        <v>-646.83000000000004</v>
      </c>
      <c r="Y30" s="2"/>
      <c r="Z30" s="19">
        <f t="shared" si="3"/>
        <v>0</v>
      </c>
    </row>
    <row r="31" spans="1:26" s="24" customFormat="1" hidden="1" outlineLevel="1" x14ac:dyDescent="0.3">
      <c r="A31" s="44"/>
      <c r="B31" s="11" t="str">
        <f>CONCATENATE("          ", "4381", " - ", "SALES RETURN NON TAXABLE-ELECT")</f>
        <v xml:space="preserve">          4381 - SALES RETURN NON TAXABLE-ELECT</v>
      </c>
      <c r="C31" s="11"/>
      <c r="D31" s="2">
        <f>0</f>
        <v>0</v>
      </c>
      <c r="E31" s="2"/>
      <c r="F31" s="19"/>
      <c r="G31" s="2"/>
      <c r="H31" s="2">
        <f>-3625.2</f>
        <v>-3625.2</v>
      </c>
      <c r="I31" s="2"/>
      <c r="J31" s="19"/>
      <c r="K31" s="2"/>
      <c r="L31" s="2">
        <f t="shared" si="0"/>
        <v>3625.2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f>-5374.2</f>
        <v>-5374.2</v>
      </c>
      <c r="U31" s="2"/>
      <c r="V31" s="19"/>
      <c r="W31" s="2"/>
      <c r="X31" s="2">
        <f t="shared" si="2"/>
        <v>5374.2</v>
      </c>
      <c r="Y31" s="2"/>
      <c r="Z31" s="19">
        <f t="shared" si="3"/>
        <v>-1</v>
      </c>
    </row>
    <row r="32" spans="1:26" x14ac:dyDescent="0.3">
      <c r="A32" s="9"/>
      <c r="B32" s="10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collapsed="1" x14ac:dyDescent="0.3">
      <c r="A33" s="10"/>
      <c r="B33" s="26" t="s">
        <v>256</v>
      </c>
      <c r="C33" s="10"/>
      <c r="D33" s="4">
        <f>SUM(OSRRefD16x_0)</f>
        <v>291793.13</v>
      </c>
      <c r="E33" s="4"/>
      <c r="F33" s="12">
        <f t="shared" ref="F33:F44" si="10">IF(D$12=0,0,D33/D$12)</f>
        <v>0.84978331325850154</v>
      </c>
      <c r="G33" s="4"/>
      <c r="H33" s="4">
        <f>SUM(OSRRefH16x_0)</f>
        <v>478464</v>
      </c>
      <c r="I33" s="4"/>
      <c r="J33" s="12">
        <f t="shared" ref="J33:J44" si="11">IF(H$12=0,0,H33/H$12)</f>
        <v>0.97313830432017234</v>
      </c>
      <c r="K33" s="4"/>
      <c r="L33" s="4">
        <f t="shared" ref="L33:L44" si="12">+D33-H33</f>
        <v>-186670.87</v>
      </c>
      <c r="M33" s="4"/>
      <c r="N33" s="12">
        <f t="shared" ref="N33:N44" si="13">IF(H33=0,0,L33/H33)</f>
        <v>-0.39014611339620114</v>
      </c>
      <c r="O33" s="10"/>
      <c r="P33" s="4">
        <f>SUM(OSRRefP16x_0)</f>
        <v>374164.6</v>
      </c>
      <c r="Q33" s="4"/>
      <c r="R33" s="12">
        <f t="shared" ref="R33:R44" si="14">IF(P$12=0,0,P33/P$12)</f>
        <v>0.85293314233908213</v>
      </c>
      <c r="S33" s="4"/>
      <c r="T33" s="4">
        <f>SUM(OSRRefT16x_0)</f>
        <v>662420</v>
      </c>
      <c r="U33" s="4"/>
      <c r="V33" s="12">
        <f t="shared" ref="V33:V44" si="15">IF(T$12=0,0,T33/T$12)</f>
        <v>0.94680366147536887</v>
      </c>
      <c r="W33" s="4"/>
      <c r="X33" s="4">
        <f t="shared" ref="X33:X44" si="16">+P33-T33</f>
        <v>-288255.40000000002</v>
      </c>
      <c r="Y33" s="4"/>
      <c r="Z33" s="12">
        <f t="shared" ref="Z33:Z44" si="17">IF(T33=0,0,X33/T33)</f>
        <v>-0.43515503758944479</v>
      </c>
    </row>
    <row r="34" spans="1:26" s="24" customFormat="1" hidden="1" outlineLevel="1" x14ac:dyDescent="0.3">
      <c r="A34" s="44"/>
      <c r="B34" s="11" t="str">
        <f>CONCATENATE("          ", "5000", " - ", "PURCHASES @ COST")</f>
        <v xml:space="preserve">          5000 - PURCHASES @ COST</v>
      </c>
      <c r="C34" s="11"/>
      <c r="D34" s="2">
        <v>285773.33</v>
      </c>
      <c r="E34" s="2"/>
      <c r="F34" s="19">
        <f t="shared" si="10"/>
        <v>0.83225196977158145</v>
      </c>
      <c r="G34" s="2"/>
      <c r="H34" s="2"/>
      <c r="I34" s="2"/>
      <c r="J34" s="19">
        <f t="shared" si="11"/>
        <v>0</v>
      </c>
      <c r="K34" s="2"/>
      <c r="L34" s="2">
        <f t="shared" si="12"/>
        <v>285773.33</v>
      </c>
      <c r="M34" s="2"/>
      <c r="N34" s="19">
        <f t="shared" si="13"/>
        <v>0</v>
      </c>
      <c r="O34" s="11"/>
      <c r="P34" s="2">
        <v>383135.87</v>
      </c>
      <c r="Q34" s="2"/>
      <c r="R34" s="19">
        <f t="shared" si="14"/>
        <v>0.87338375020490466</v>
      </c>
      <c r="S34" s="2"/>
      <c r="T34" s="2"/>
      <c r="U34" s="2"/>
      <c r="V34" s="19">
        <f t="shared" si="15"/>
        <v>0</v>
      </c>
      <c r="W34" s="2"/>
      <c r="X34" s="2">
        <f t="shared" si="16"/>
        <v>383135.87</v>
      </c>
      <c r="Y34" s="2"/>
      <c r="Z34" s="19">
        <f t="shared" si="17"/>
        <v>0</v>
      </c>
    </row>
    <row r="35" spans="1:26" s="24" customFormat="1" hidden="1" outlineLevel="1" x14ac:dyDescent="0.3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0</v>
      </c>
      <c r="E35" s="2"/>
      <c r="F35" s="19">
        <f t="shared" si="10"/>
        <v>0</v>
      </c>
      <c r="G35" s="2"/>
      <c r="H35" s="2">
        <v>745.55</v>
      </c>
      <c r="I35" s="2"/>
      <c r="J35" s="19">
        <f t="shared" si="11"/>
        <v>1.5163591467402028E-3</v>
      </c>
      <c r="K35" s="2"/>
      <c r="L35" s="2">
        <f t="shared" si="12"/>
        <v>-745.55</v>
      </c>
      <c r="M35" s="2"/>
      <c r="N35" s="19">
        <f t="shared" si="13"/>
        <v>-1</v>
      </c>
      <c r="O35" s="11"/>
      <c r="P35" s="2">
        <v>0</v>
      </c>
      <c r="Q35" s="2"/>
      <c r="R35" s="19">
        <f t="shared" si="14"/>
        <v>0</v>
      </c>
      <c r="S35" s="2"/>
      <c r="T35" s="2">
        <v>7422.47</v>
      </c>
      <c r="U35" s="2"/>
      <c r="V35" s="19">
        <f t="shared" si="15"/>
        <v>1.0609012066651191E-2</v>
      </c>
      <c r="W35" s="2"/>
      <c r="X35" s="2">
        <f t="shared" si="16"/>
        <v>-7422.47</v>
      </c>
      <c r="Y35" s="2"/>
      <c r="Z35" s="19">
        <f t="shared" si="17"/>
        <v>-1</v>
      </c>
    </row>
    <row r="36" spans="1:26" s="24" customFormat="1" hidden="1" outlineLevel="1" x14ac:dyDescent="0.3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-23501.200000000001</v>
      </c>
      <c r="E36" s="2"/>
      <c r="F36" s="19">
        <f t="shared" si="10"/>
        <v>-6.8442076074754388E-2</v>
      </c>
      <c r="G36" s="2"/>
      <c r="H36" s="2">
        <v>56751.23</v>
      </c>
      <c r="I36" s="2"/>
      <c r="J36" s="19">
        <f t="shared" si="11"/>
        <v>0.11542518503018846</v>
      </c>
      <c r="K36" s="2"/>
      <c r="L36" s="2">
        <f t="shared" si="12"/>
        <v>-80252.430000000008</v>
      </c>
      <c r="M36" s="2"/>
      <c r="N36" s="19">
        <f t="shared" si="13"/>
        <v>-1.4141090862700245</v>
      </c>
      <c r="O36" s="11"/>
      <c r="P36" s="2">
        <v>-34403.82</v>
      </c>
      <c r="Q36" s="2"/>
      <c r="R36" s="19">
        <f t="shared" si="14"/>
        <v>-7.842580057297821E-2</v>
      </c>
      <c r="S36" s="2"/>
      <c r="T36" s="2">
        <v>243223.8</v>
      </c>
      <c r="U36" s="2"/>
      <c r="V36" s="19">
        <f t="shared" si="15"/>
        <v>0.34764225777898133</v>
      </c>
      <c r="W36" s="2"/>
      <c r="X36" s="2">
        <f t="shared" si="16"/>
        <v>-277627.62</v>
      </c>
      <c r="Y36" s="2"/>
      <c r="Z36" s="19">
        <f t="shared" si="17"/>
        <v>-1.1414492331753718</v>
      </c>
    </row>
    <row r="37" spans="1:26" s="24" customFormat="1" hidden="1" outlineLevel="1" x14ac:dyDescent="0.3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0</v>
      </c>
      <c r="E37" s="2"/>
      <c r="F37" s="19">
        <f t="shared" si="10"/>
        <v>0</v>
      </c>
      <c r="G37" s="2"/>
      <c r="H37" s="2">
        <v>7340.55</v>
      </c>
      <c r="I37" s="2"/>
      <c r="J37" s="19">
        <f t="shared" si="11"/>
        <v>1.4929796974855873E-2</v>
      </c>
      <c r="K37" s="2"/>
      <c r="L37" s="2">
        <f t="shared" si="12"/>
        <v>-7340.55</v>
      </c>
      <c r="M37" s="2"/>
      <c r="N37" s="19">
        <f t="shared" si="13"/>
        <v>-1</v>
      </c>
      <c r="O37" s="11"/>
      <c r="P37" s="2">
        <v>0</v>
      </c>
      <c r="Q37" s="2"/>
      <c r="R37" s="19">
        <f t="shared" si="14"/>
        <v>0</v>
      </c>
      <c r="S37" s="2"/>
      <c r="T37" s="2">
        <v>37278.85</v>
      </c>
      <c r="U37" s="2"/>
      <c r="V37" s="19">
        <f t="shared" si="15"/>
        <v>5.328304048125216E-2</v>
      </c>
      <c r="W37" s="2"/>
      <c r="X37" s="2">
        <f t="shared" si="16"/>
        <v>-37278.85</v>
      </c>
      <c r="Y37" s="2"/>
      <c r="Z37" s="19">
        <f t="shared" si="17"/>
        <v>-1</v>
      </c>
    </row>
    <row r="38" spans="1:26" s="24" customFormat="1" hidden="1" outlineLevel="1" x14ac:dyDescent="0.3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0</v>
      </c>
      <c r="E38" s="2"/>
      <c r="F38" s="19">
        <f t="shared" si="10"/>
        <v>0</v>
      </c>
      <c r="G38" s="2"/>
      <c r="H38" s="2">
        <v>2364.2199999999998</v>
      </c>
      <c r="I38" s="2"/>
      <c r="J38" s="19">
        <f t="shared" si="11"/>
        <v>4.8085394968897088E-3</v>
      </c>
      <c r="K38" s="2"/>
      <c r="L38" s="2">
        <f t="shared" si="12"/>
        <v>-2364.2199999999998</v>
      </c>
      <c r="M38" s="2"/>
      <c r="N38" s="19">
        <f t="shared" si="13"/>
        <v>-1</v>
      </c>
      <c r="O38" s="11"/>
      <c r="P38" s="2">
        <v>0</v>
      </c>
      <c r="Q38" s="2"/>
      <c r="R38" s="19">
        <f t="shared" si="14"/>
        <v>0</v>
      </c>
      <c r="S38" s="2"/>
      <c r="T38" s="2">
        <v>6228.56</v>
      </c>
      <c r="U38" s="2"/>
      <c r="V38" s="19">
        <f t="shared" si="15"/>
        <v>8.9025443279475616E-3</v>
      </c>
      <c r="W38" s="2"/>
      <c r="X38" s="2">
        <f t="shared" si="16"/>
        <v>-6228.56</v>
      </c>
      <c r="Y38" s="2"/>
      <c r="Z38" s="19">
        <f t="shared" si="17"/>
        <v>-1</v>
      </c>
    </row>
    <row r="39" spans="1:26" s="24" customFormat="1" hidden="1" outlineLevel="1" x14ac:dyDescent="0.3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0</v>
      </c>
      <c r="E39" s="2"/>
      <c r="F39" s="19">
        <f t="shared" si="10"/>
        <v>0</v>
      </c>
      <c r="G39" s="2"/>
      <c r="H39" s="2">
        <v>21649.96</v>
      </c>
      <c r="I39" s="2"/>
      <c r="J39" s="19">
        <f t="shared" si="11"/>
        <v>4.4033418110870526E-2</v>
      </c>
      <c r="K39" s="2"/>
      <c r="L39" s="2">
        <f t="shared" si="12"/>
        <v>-21649.96</v>
      </c>
      <c r="M39" s="2"/>
      <c r="N39" s="19">
        <f t="shared" si="13"/>
        <v>-1</v>
      </c>
      <c r="O39" s="11"/>
      <c r="P39" s="2">
        <v>0</v>
      </c>
      <c r="Q39" s="2"/>
      <c r="R39" s="19">
        <f t="shared" si="14"/>
        <v>0</v>
      </c>
      <c r="S39" s="2"/>
      <c r="T39" s="2">
        <v>21737.21</v>
      </c>
      <c r="U39" s="2"/>
      <c r="V39" s="19">
        <f t="shared" si="15"/>
        <v>3.1069215932880957E-2</v>
      </c>
      <c r="W39" s="2"/>
      <c r="X39" s="2">
        <f t="shared" si="16"/>
        <v>-21737.21</v>
      </c>
      <c r="Y39" s="2"/>
      <c r="Z39" s="19">
        <f t="shared" si="17"/>
        <v>-1</v>
      </c>
    </row>
    <row r="40" spans="1:26" s="24" customFormat="1" hidden="1" outlineLevel="1" x14ac:dyDescent="0.3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-285788.87</v>
      </c>
      <c r="E40" s="2"/>
      <c r="F40" s="19">
        <f t="shared" si="10"/>
        <v>-0.83229722660366667</v>
      </c>
      <c r="G40" s="2"/>
      <c r="H40" s="2">
        <v>-88875.63</v>
      </c>
      <c r="I40" s="2"/>
      <c r="J40" s="19">
        <f t="shared" si="11"/>
        <v>-0.18076235594232176</v>
      </c>
      <c r="K40" s="2"/>
      <c r="L40" s="2">
        <f t="shared" si="12"/>
        <v>-196913.24</v>
      </c>
      <c r="M40" s="2"/>
      <c r="N40" s="19">
        <f t="shared" si="13"/>
        <v>2.2156044350965498</v>
      </c>
      <c r="O40" s="11"/>
      <c r="P40" s="2">
        <v>-383171.52</v>
      </c>
      <c r="Q40" s="2"/>
      <c r="R40" s="19">
        <f t="shared" si="14"/>
        <v>-0.87346501675584087</v>
      </c>
      <c r="S40" s="2"/>
      <c r="T40" s="2">
        <v>-315932.40000000002</v>
      </c>
      <c r="U40" s="2"/>
      <c r="V40" s="19">
        <f t="shared" si="15"/>
        <v>-0.45156540125403954</v>
      </c>
      <c r="W40" s="2"/>
      <c r="X40" s="2">
        <f t="shared" si="16"/>
        <v>-67239.12</v>
      </c>
      <c r="Y40" s="2"/>
      <c r="Z40" s="19">
        <f t="shared" si="17"/>
        <v>0.21282755424894689</v>
      </c>
    </row>
    <row r="41" spans="1:26" s="24" customFormat="1" hidden="1" outlineLevel="1" x14ac:dyDescent="0.3">
      <c r="A41" s="44"/>
      <c r="B41" s="11" t="str">
        <f>CONCATENATE("          ", "5300", " - ", "COG$ OFFSET")</f>
        <v xml:space="preserve">          5300 - COG$ OFFSET</v>
      </c>
      <c r="C41" s="11"/>
      <c r="D41" s="2">
        <v>315294.33</v>
      </c>
      <c r="E41" s="2"/>
      <c r="F41" s="19">
        <f t="shared" si="10"/>
        <v>0.91822538933325593</v>
      </c>
      <c r="G41" s="2"/>
      <c r="H41" s="2">
        <v>478464</v>
      </c>
      <c r="I41" s="2"/>
      <c r="J41" s="19">
        <f t="shared" si="11"/>
        <v>0.97313830432017234</v>
      </c>
      <c r="K41" s="2"/>
      <c r="L41" s="2">
        <f t="shared" si="12"/>
        <v>-163169.66999999998</v>
      </c>
      <c r="M41" s="2"/>
      <c r="N41" s="19">
        <f t="shared" si="13"/>
        <v>-0.34102810242776882</v>
      </c>
      <c r="O41" s="11"/>
      <c r="P41" s="2">
        <v>408568.42</v>
      </c>
      <c r="Q41" s="2"/>
      <c r="R41" s="19">
        <f t="shared" si="14"/>
        <v>0.93135894291206034</v>
      </c>
      <c r="S41" s="2"/>
      <c r="T41" s="2">
        <v>662420</v>
      </c>
      <c r="U41" s="2"/>
      <c r="V41" s="19">
        <f t="shared" si="15"/>
        <v>0.94680366147536887</v>
      </c>
      <c r="W41" s="2"/>
      <c r="X41" s="2">
        <f t="shared" si="16"/>
        <v>-253851.58000000002</v>
      </c>
      <c r="Y41" s="2"/>
      <c r="Z41" s="19">
        <f t="shared" si="17"/>
        <v>-0.3832184716645029</v>
      </c>
    </row>
    <row r="42" spans="1:26" s="24" customFormat="1" hidden="1" outlineLevel="1" x14ac:dyDescent="0.3">
      <c r="A42" s="44"/>
      <c r="B42" s="11" t="str">
        <f>CONCATENATE("          ", "5500", " - ", "FREIGHT-IN")</f>
        <v xml:space="preserve">          5500 - FREIGHT-IN</v>
      </c>
      <c r="C42" s="11"/>
      <c r="D42" s="2">
        <v>15.54</v>
      </c>
      <c r="E42" s="2"/>
      <c r="F42" s="19">
        <f t="shared" si="10"/>
        <v>4.5256832085241734E-5</v>
      </c>
      <c r="G42" s="2"/>
      <c r="H42" s="2">
        <v>0</v>
      </c>
      <c r="I42" s="2"/>
      <c r="J42" s="19">
        <f t="shared" si="11"/>
        <v>0</v>
      </c>
      <c r="K42" s="2"/>
      <c r="L42" s="2">
        <f t="shared" si="12"/>
        <v>15.54</v>
      </c>
      <c r="M42" s="2"/>
      <c r="N42" s="19">
        <f t="shared" si="13"/>
        <v>0</v>
      </c>
      <c r="O42" s="11"/>
      <c r="P42" s="2">
        <v>35.65</v>
      </c>
      <c r="Q42" s="2"/>
      <c r="R42" s="19">
        <f t="shared" si="14"/>
        <v>8.1266550936107476E-5</v>
      </c>
      <c r="S42" s="2"/>
      <c r="T42" s="2">
        <v>0</v>
      </c>
      <c r="U42" s="2"/>
      <c r="V42" s="19">
        <f t="shared" si="15"/>
        <v>0</v>
      </c>
      <c r="W42" s="2"/>
      <c r="X42" s="2">
        <f t="shared" si="16"/>
        <v>35.65</v>
      </c>
      <c r="Y42" s="2"/>
      <c r="Z42" s="19">
        <f t="shared" si="17"/>
        <v>0</v>
      </c>
    </row>
    <row r="43" spans="1:26" s="24" customFormat="1" hidden="1" outlineLevel="1" x14ac:dyDescent="0.3">
      <c r="A43" s="44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0</v>
      </c>
      <c r="E43" s="2"/>
      <c r="F43" s="19">
        <f t="shared" si="10"/>
        <v>0</v>
      </c>
      <c r="G43" s="2"/>
      <c r="H43" s="2"/>
      <c r="I43" s="2"/>
      <c r="J43" s="19">
        <f t="shared" si="11"/>
        <v>0</v>
      </c>
      <c r="K43" s="2"/>
      <c r="L43" s="2">
        <f t="shared" si="12"/>
        <v>0</v>
      </c>
      <c r="M43" s="2"/>
      <c r="N43" s="19">
        <f t="shared" si="13"/>
        <v>0</v>
      </c>
      <c r="O43" s="11"/>
      <c r="P43" s="2">
        <v>0</v>
      </c>
      <c r="Q43" s="2"/>
      <c r="R43" s="19">
        <f t="shared" si="14"/>
        <v>0</v>
      </c>
      <c r="S43" s="2"/>
      <c r="T43" s="2">
        <v>17.39</v>
      </c>
      <c r="U43" s="2"/>
      <c r="V43" s="19">
        <f t="shared" si="15"/>
        <v>2.4855704346270742E-5</v>
      </c>
      <c r="W43" s="2"/>
      <c r="X43" s="2">
        <f t="shared" si="16"/>
        <v>-17.39</v>
      </c>
      <c r="Y43" s="2"/>
      <c r="Z43" s="19">
        <f t="shared" si="17"/>
        <v>-1</v>
      </c>
    </row>
    <row r="44" spans="1:26" s="24" customFormat="1" hidden="1" outlineLevel="1" x14ac:dyDescent="0.3">
      <c r="A44" s="44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19">
        <f t="shared" si="10"/>
        <v>0</v>
      </c>
      <c r="G44" s="2"/>
      <c r="H44" s="2">
        <v>24.12</v>
      </c>
      <c r="I44" s="2"/>
      <c r="J44" s="19">
        <f t="shared" si="11"/>
        <v>4.905718277697498E-5</v>
      </c>
      <c r="K44" s="2"/>
      <c r="L44" s="2">
        <f t="shared" si="12"/>
        <v>-24.12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24.12</v>
      </c>
      <c r="U44" s="2"/>
      <c r="V44" s="19">
        <f t="shared" si="15"/>
        <v>3.4474961979991395E-5</v>
      </c>
      <c r="W44" s="2"/>
      <c r="X44" s="2">
        <f t="shared" si="16"/>
        <v>-24.12</v>
      </c>
      <c r="Y44" s="2"/>
      <c r="Z44" s="19">
        <f t="shared" si="17"/>
        <v>-1</v>
      </c>
    </row>
    <row r="45" spans="1:26" x14ac:dyDescent="0.3">
      <c r="A45" s="9"/>
      <c r="B45" s="10"/>
      <c r="C45" s="10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O45" s="10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x14ac:dyDescent="0.3">
      <c r="A46" s="10"/>
      <c r="B46" s="25" t="s">
        <v>107</v>
      </c>
      <c r="C46" s="25"/>
      <c r="D46" s="20">
        <f>D12-D33</f>
        <v>51580.44</v>
      </c>
      <c r="E46" s="13"/>
      <c r="F46" s="22">
        <f>IF(D$12=0,0,D46/D$12)</f>
        <v>0.15021668674149849</v>
      </c>
      <c r="G46" s="13"/>
      <c r="H46" s="20">
        <f>H12-H33</f>
        <v>13207.120000000054</v>
      </c>
      <c r="I46" s="13"/>
      <c r="J46" s="22">
        <f>IF(H$12=0,0,H46/H$12)</f>
        <v>2.6861695679827709E-2</v>
      </c>
      <c r="K46" s="15"/>
      <c r="L46" s="20">
        <f>+D46-H46</f>
        <v>38373.319999999949</v>
      </c>
      <c r="M46" s="15"/>
      <c r="N46" s="22">
        <f>IF(H46=0,0,L46/H46)</f>
        <v>2.9055024865375487</v>
      </c>
      <c r="O46" s="26"/>
      <c r="P46" s="20">
        <f>P12-P33</f>
        <v>64515.26999999996</v>
      </c>
      <c r="Q46" s="13"/>
      <c r="R46" s="22">
        <f>IF(P$12=0,0,P46/P$12)</f>
        <v>0.1470668576609179</v>
      </c>
      <c r="S46" s="13"/>
      <c r="T46" s="20">
        <f>T12-T33</f>
        <v>37218.190000000177</v>
      </c>
      <c r="U46" s="13"/>
      <c r="V46" s="22">
        <f>IF(T$12=0,0,T46/T$12)</f>
        <v>5.3196338524631091E-2</v>
      </c>
      <c r="W46" s="15"/>
      <c r="X46" s="20">
        <f>+P46-T46</f>
        <v>27297.079999999783</v>
      </c>
      <c r="Y46" s="15"/>
      <c r="Z46" s="22">
        <f>IF(T46=0,0,X46/T46)</f>
        <v>0.73343383974340648</v>
      </c>
    </row>
    <row r="47" spans="1:26" x14ac:dyDescent="0.3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7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3">
      <c r="A48" s="10"/>
      <c r="B48" s="26" t="s">
        <v>294</v>
      </c>
      <c r="C48" s="10"/>
      <c r="D48" s="21">
        <f>SUM(OSRRefD22x_0)</f>
        <v>14040.32</v>
      </c>
      <c r="E48" s="21"/>
      <c r="F48" s="32">
        <f t="shared" ref="F48:F58" si="18">IF(D$12=0,0,D48/D$12)</f>
        <v>4.0889343929411924E-2</v>
      </c>
      <c r="G48" s="21"/>
      <c r="H48" s="21">
        <f>SUM(OSRRefH22x_0)</f>
        <v>15135.81</v>
      </c>
      <c r="I48" s="21"/>
      <c r="J48" s="32">
        <f t="shared" ref="J48:J58" si="19">IF(H$12=0,0,H48/H$12)</f>
        <v>3.0784419471292106E-2</v>
      </c>
      <c r="K48" s="4"/>
      <c r="L48" s="21">
        <f t="shared" ref="L48:L58" si="20">+D48-H48</f>
        <v>-1095.4899999999998</v>
      </c>
      <c r="M48" s="4"/>
      <c r="N48" s="32">
        <f t="shared" ref="N48:N58" si="21">IF(H48=0,0,L48/H48)</f>
        <v>-7.2377362030839429E-2</v>
      </c>
      <c r="O48" s="10"/>
      <c r="P48" s="21">
        <f>SUM(OSRRefP22x_0)</f>
        <v>30924.99</v>
      </c>
      <c r="Q48" s="21"/>
      <c r="R48" s="32">
        <f t="shared" ref="R48:R58" si="22">IF(P$12=0,0,P48/P$12)</f>
        <v>7.0495575737268293E-2</v>
      </c>
      <c r="S48" s="21"/>
      <c r="T48" s="21">
        <f>SUM(OSRRefT22x_0)</f>
        <v>26915.47</v>
      </c>
      <c r="U48" s="21"/>
      <c r="V48" s="32">
        <f t="shared" ref="V48:V58" si="23">IF(T$12=0,0,T48/T$12)</f>
        <v>3.8470555759684867E-2</v>
      </c>
      <c r="W48" s="4"/>
      <c r="X48" s="21">
        <f t="shared" ref="X48:X58" si="24">+P48-T48</f>
        <v>4009.5200000000004</v>
      </c>
      <c r="Y48" s="4"/>
      <c r="Z48" s="32">
        <f t="shared" ref="Z48:Z58" si="25">IF(T48=0,0,X48/T48)</f>
        <v>0.1489671181666157</v>
      </c>
    </row>
    <row r="49" spans="1:26" s="28" customFormat="1" outlineLevel="1" collapsed="1" x14ac:dyDescent="0.3">
      <c r="A49" s="29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999.63</v>
      </c>
      <c r="E49" s="1"/>
      <c r="F49" s="5">
        <f t="shared" si="18"/>
        <v>2.9112025133442854E-3</v>
      </c>
      <c r="G49" s="1"/>
      <c r="H49" s="1">
        <f>SUM(OSRRefH22_0x_0)</f>
        <v>2843.1500000000005</v>
      </c>
      <c r="I49" s="1"/>
      <c r="J49" s="5">
        <f t="shared" si="19"/>
        <v>5.7826255892353415E-3</v>
      </c>
      <c r="K49" s="1"/>
      <c r="L49" s="1">
        <f t="shared" si="20"/>
        <v>-1843.5200000000004</v>
      </c>
      <c r="M49" s="1"/>
      <c r="N49" s="5">
        <f t="shared" si="21"/>
        <v>-0.64840757610396926</v>
      </c>
      <c r="O49" s="14"/>
      <c r="P49" s="1">
        <f>SUM(OSRRefP22_0x_0)</f>
        <v>3159.23</v>
      </c>
      <c r="Q49" s="1"/>
      <c r="R49" s="5">
        <f t="shared" si="22"/>
        <v>7.2016753355926737E-3</v>
      </c>
      <c r="S49" s="1"/>
      <c r="T49" s="1">
        <f>SUM(OSRRefT22_0x_0)</f>
        <v>5571.5200000000013</v>
      </c>
      <c r="U49" s="1"/>
      <c r="V49" s="5">
        <f t="shared" si="23"/>
        <v>7.963430355338379E-3</v>
      </c>
      <c r="W49" s="1"/>
      <c r="X49" s="1">
        <f t="shared" si="24"/>
        <v>-2412.2900000000013</v>
      </c>
      <c r="Y49" s="1"/>
      <c r="Z49" s="5">
        <f t="shared" si="25"/>
        <v>-0.43296802308885202</v>
      </c>
    </row>
    <row r="50" spans="1:26" s="24" customFormat="1" hidden="1" outlineLevel="2" x14ac:dyDescent="0.3">
      <c r="A50" s="27"/>
      <c r="B50" s="11" t="str">
        <f>CONCATENATE("          ", "6111", " - ", "F.I.C.A.")</f>
        <v xml:space="preserve">          6111 - F.I.C.A.</v>
      </c>
      <c r="C50" s="11"/>
      <c r="D50" s="7">
        <v>406.68</v>
      </c>
      <c r="E50" s="2"/>
      <c r="F50" s="8">
        <f t="shared" si="18"/>
        <v>1.1843660535666737E-3</v>
      </c>
      <c r="G50" s="2"/>
      <c r="H50" s="7">
        <v>618.58000000000004</v>
      </c>
      <c r="I50" s="2"/>
      <c r="J50" s="8">
        <f t="shared" si="19"/>
        <v>1.2581174180008783E-3</v>
      </c>
      <c r="K50" s="2"/>
      <c r="L50" s="7">
        <f t="shared" si="20"/>
        <v>-211.90000000000003</v>
      </c>
      <c r="M50" s="2"/>
      <c r="N50" s="8">
        <f t="shared" si="21"/>
        <v>-0.34255876361990367</v>
      </c>
      <c r="O50" s="11"/>
      <c r="P50" s="7">
        <v>1060.24</v>
      </c>
      <c r="Q50" s="2"/>
      <c r="R50" s="8">
        <f t="shared" si="22"/>
        <v>2.416887740939652E-3</v>
      </c>
      <c r="S50" s="2"/>
      <c r="T50" s="7">
        <v>1038.3800000000001</v>
      </c>
      <c r="U50" s="2"/>
      <c r="V50" s="8">
        <f t="shared" si="23"/>
        <v>1.484167123581404E-3</v>
      </c>
      <c r="W50" s="2"/>
      <c r="X50" s="7">
        <f t="shared" si="24"/>
        <v>21.8599999999999</v>
      </c>
      <c r="Y50" s="2"/>
      <c r="Z50" s="8">
        <f t="shared" si="25"/>
        <v>2.1052023344055065E-2</v>
      </c>
    </row>
    <row r="51" spans="1:26" s="24" customFormat="1" hidden="1" outlineLevel="2" x14ac:dyDescent="0.3">
      <c r="A51" s="27"/>
      <c r="B51" s="11" t="str">
        <f>CONCATENATE("          ", "6112", " - ", "COMPENSATION INSURANCE")</f>
        <v xml:space="preserve">          6112 - COMPENSATION INSURANCE</v>
      </c>
      <c r="C51" s="11"/>
      <c r="D51" s="7">
        <v>112.83</v>
      </c>
      <c r="E51" s="2"/>
      <c r="F51" s="8">
        <f t="shared" si="18"/>
        <v>3.2859255882740189E-4</v>
      </c>
      <c r="G51" s="2"/>
      <c r="H51" s="7">
        <v>90.86</v>
      </c>
      <c r="I51" s="2"/>
      <c r="J51" s="8">
        <f t="shared" si="19"/>
        <v>1.8479832616566941E-4</v>
      </c>
      <c r="K51" s="2"/>
      <c r="L51" s="7">
        <f t="shared" si="20"/>
        <v>21.97</v>
      </c>
      <c r="M51" s="2"/>
      <c r="N51" s="8">
        <f t="shared" si="21"/>
        <v>0.24180057230904686</v>
      </c>
      <c r="O51" s="11"/>
      <c r="P51" s="7">
        <v>290.19</v>
      </c>
      <c r="Q51" s="2"/>
      <c r="R51" s="8">
        <f t="shared" si="22"/>
        <v>6.6150744505326863E-4</v>
      </c>
      <c r="S51" s="2"/>
      <c r="T51" s="7">
        <v>143.91</v>
      </c>
      <c r="U51" s="2"/>
      <c r="V51" s="8">
        <f t="shared" si="23"/>
        <v>2.0569203061942626E-4</v>
      </c>
      <c r="W51" s="2"/>
      <c r="X51" s="7">
        <f t="shared" si="24"/>
        <v>146.28</v>
      </c>
      <c r="Y51" s="2"/>
      <c r="Z51" s="8">
        <f t="shared" si="25"/>
        <v>1.0164686262247238</v>
      </c>
    </row>
    <row r="52" spans="1:26" s="24" customFormat="1" hidden="1" outlineLevel="2" x14ac:dyDescent="0.3">
      <c r="A52" s="27"/>
      <c r="B52" s="11" t="str">
        <f>CONCATENATE("          ", "6113", " - ", "GROUP INSURANCE")</f>
        <v xml:space="preserve">          6113 - GROUP INSURANCE</v>
      </c>
      <c r="C52" s="11"/>
      <c r="D52" s="7">
        <v>165.65</v>
      </c>
      <c r="E52" s="2"/>
      <c r="F52" s="8">
        <f t="shared" si="18"/>
        <v>4.8241919143631238E-4</v>
      </c>
      <c r="G52" s="2"/>
      <c r="H52" s="7">
        <v>1035.69</v>
      </c>
      <c r="I52" s="2"/>
      <c r="J52" s="8">
        <f t="shared" si="19"/>
        <v>2.106469055981974E-3</v>
      </c>
      <c r="K52" s="2"/>
      <c r="L52" s="7">
        <f t="shared" si="20"/>
        <v>-870.04000000000008</v>
      </c>
      <c r="M52" s="2"/>
      <c r="N52" s="8">
        <f t="shared" si="21"/>
        <v>-0.84005831860885016</v>
      </c>
      <c r="O52" s="11"/>
      <c r="P52" s="7">
        <v>993.92</v>
      </c>
      <c r="Q52" s="2"/>
      <c r="R52" s="8">
        <f t="shared" si="22"/>
        <v>2.2657068809653841E-3</v>
      </c>
      <c r="S52" s="2"/>
      <c r="T52" s="7">
        <v>2071.38</v>
      </c>
      <c r="U52" s="2"/>
      <c r="V52" s="8">
        <f t="shared" si="23"/>
        <v>2.9606445582966243E-3</v>
      </c>
      <c r="W52" s="2"/>
      <c r="X52" s="7">
        <f t="shared" si="24"/>
        <v>-1077.46</v>
      </c>
      <c r="Y52" s="2"/>
      <c r="Z52" s="8">
        <f t="shared" si="25"/>
        <v>-0.52016530042773412</v>
      </c>
    </row>
    <row r="53" spans="1:26" s="24" customFormat="1" hidden="1" outlineLevel="2" x14ac:dyDescent="0.3">
      <c r="A53" s="27"/>
      <c r="B53" s="11" t="str">
        <f>CONCATENATE("          ", "6114", " - ", "STATE UNEMPLOYMENT INSURANCE")</f>
        <v xml:space="preserve">          6114 - STATE UNEMPLOYMENT INSURANCE</v>
      </c>
      <c r="C53" s="11"/>
      <c r="D53" s="7">
        <v>19.82</v>
      </c>
      <c r="E53" s="2"/>
      <c r="F53" s="8">
        <f t="shared" si="18"/>
        <v>5.7721390729053494E-5</v>
      </c>
      <c r="G53" s="2"/>
      <c r="H53" s="7">
        <v>20.47</v>
      </c>
      <c r="I53" s="2"/>
      <c r="J53" s="8">
        <f t="shared" si="19"/>
        <v>4.1633521204174037E-5</v>
      </c>
      <c r="K53" s="2"/>
      <c r="L53" s="7">
        <f t="shared" si="20"/>
        <v>-0.64999999999999858</v>
      </c>
      <c r="M53" s="2"/>
      <c r="N53" s="8">
        <f t="shared" si="21"/>
        <v>-3.1753786028334077E-2</v>
      </c>
      <c r="O53" s="11"/>
      <c r="P53" s="7">
        <v>50.98</v>
      </c>
      <c r="Q53" s="2"/>
      <c r="R53" s="8">
        <f t="shared" si="22"/>
        <v>1.1621230762195676E-4</v>
      </c>
      <c r="S53" s="2"/>
      <c r="T53" s="7">
        <v>34.93</v>
      </c>
      <c r="U53" s="2"/>
      <c r="V53" s="8">
        <f t="shared" si="23"/>
        <v>4.9925805222267797E-5</v>
      </c>
      <c r="W53" s="2"/>
      <c r="X53" s="7">
        <f t="shared" si="24"/>
        <v>16.049999999999997</v>
      </c>
      <c r="Y53" s="2"/>
      <c r="Z53" s="8">
        <f t="shared" si="25"/>
        <v>0.45949040939020891</v>
      </c>
    </row>
    <row r="54" spans="1:26" s="24" customFormat="1" hidden="1" outlineLevel="2" x14ac:dyDescent="0.3">
      <c r="A54" s="27"/>
      <c r="B54" s="11" t="str">
        <f>CONCATENATE("          ", "6115", " - ", "P.E.R.S.")</f>
        <v xml:space="preserve">          6115 - P.E.R.S.</v>
      </c>
      <c r="C54" s="11"/>
      <c r="D54" s="7">
        <v>99.25</v>
      </c>
      <c r="E54" s="2"/>
      <c r="F54" s="8">
        <f t="shared" si="18"/>
        <v>2.8904379565381226E-4</v>
      </c>
      <c r="G54" s="2"/>
      <c r="H54" s="7">
        <v>176.42</v>
      </c>
      <c r="I54" s="2"/>
      <c r="J54" s="8">
        <f t="shared" si="19"/>
        <v>3.5881708895165528E-4</v>
      </c>
      <c r="K54" s="2"/>
      <c r="L54" s="7">
        <f t="shared" si="20"/>
        <v>-77.169999999999987</v>
      </c>
      <c r="M54" s="2"/>
      <c r="N54" s="8">
        <f t="shared" si="21"/>
        <v>-0.43742206099081732</v>
      </c>
      <c r="O54" s="11"/>
      <c r="P54" s="7">
        <v>233.15</v>
      </c>
      <c r="Q54" s="2"/>
      <c r="R54" s="8">
        <f t="shared" si="22"/>
        <v>5.3148096355549676E-4</v>
      </c>
      <c r="S54" s="2"/>
      <c r="T54" s="7">
        <v>441.05</v>
      </c>
      <c r="U54" s="2"/>
      <c r="V54" s="8">
        <f t="shared" si="23"/>
        <v>6.3039726290527382E-4</v>
      </c>
      <c r="W54" s="2"/>
      <c r="X54" s="7">
        <f t="shared" si="24"/>
        <v>-207.9</v>
      </c>
      <c r="Y54" s="2"/>
      <c r="Z54" s="8">
        <f t="shared" si="25"/>
        <v>-0.47137512753656047</v>
      </c>
    </row>
    <row r="55" spans="1:26" s="24" customFormat="1" hidden="1" outlineLevel="2" x14ac:dyDescent="0.3">
      <c r="A55" s="27"/>
      <c r="B55" s="11" t="str">
        <f>CONCATENATE("          ", "6117", " - ", "RETIREMENT STAFF HOURLY")</f>
        <v xml:space="preserve">          6117 - RETIREMENT STAFF HOURLY</v>
      </c>
      <c r="C55" s="11"/>
      <c r="D55" s="7">
        <v>60</v>
      </c>
      <c r="E55" s="2"/>
      <c r="F55" s="8">
        <f t="shared" si="18"/>
        <v>1.7473680341792178E-4</v>
      </c>
      <c r="G55" s="2"/>
      <c r="H55" s="7">
        <v>190.54</v>
      </c>
      <c r="I55" s="2"/>
      <c r="J55" s="8">
        <f t="shared" si="19"/>
        <v>3.8753547289903861E-4</v>
      </c>
      <c r="K55" s="2"/>
      <c r="L55" s="7">
        <f t="shared" si="20"/>
        <v>-130.54</v>
      </c>
      <c r="M55" s="2"/>
      <c r="N55" s="8">
        <f t="shared" si="21"/>
        <v>-0.68510548966096352</v>
      </c>
      <c r="O55" s="11"/>
      <c r="P55" s="7">
        <v>222.7</v>
      </c>
      <c r="Q55" s="2"/>
      <c r="R55" s="8">
        <f t="shared" si="22"/>
        <v>5.0765949210297711E-4</v>
      </c>
      <c r="S55" s="2"/>
      <c r="T55" s="7">
        <v>438.08</v>
      </c>
      <c r="U55" s="2"/>
      <c r="V55" s="8">
        <f t="shared" si="23"/>
        <v>6.2615221161669275E-4</v>
      </c>
      <c r="W55" s="2"/>
      <c r="X55" s="7">
        <f t="shared" si="24"/>
        <v>-215.38</v>
      </c>
      <c r="Y55" s="2"/>
      <c r="Z55" s="8">
        <f t="shared" si="25"/>
        <v>-0.49164536157779404</v>
      </c>
    </row>
    <row r="56" spans="1:26" s="24" customFormat="1" hidden="1" outlineLevel="2" x14ac:dyDescent="0.3">
      <c r="A56" s="27"/>
      <c r="B56" s="11" t="str">
        <f>CONCATENATE("          ", "6118", " - ", "VACATION")</f>
        <v xml:space="preserve">          6118 - VACATION</v>
      </c>
      <c r="C56" s="11"/>
      <c r="D56" s="7">
        <v>61.6</v>
      </c>
      <c r="E56" s="2"/>
      <c r="F56" s="8">
        <f t="shared" si="18"/>
        <v>1.7939645150906634E-4</v>
      </c>
      <c r="G56" s="2"/>
      <c r="H56" s="7">
        <v>257.8</v>
      </c>
      <c r="I56" s="2"/>
      <c r="J56" s="8">
        <f t="shared" si="19"/>
        <v>5.2433423382687193E-4</v>
      </c>
      <c r="K56" s="2"/>
      <c r="L56" s="7">
        <f t="shared" si="20"/>
        <v>-196.20000000000002</v>
      </c>
      <c r="M56" s="2"/>
      <c r="N56" s="8">
        <f t="shared" si="21"/>
        <v>-0.76105508145849499</v>
      </c>
      <c r="O56" s="11"/>
      <c r="P56" s="7">
        <v>129.36000000000001</v>
      </c>
      <c r="Q56" s="2"/>
      <c r="R56" s="8">
        <f t="shared" si="22"/>
        <v>2.9488474134908453E-4</v>
      </c>
      <c r="S56" s="2"/>
      <c r="T56" s="7">
        <v>515.6</v>
      </c>
      <c r="U56" s="2"/>
      <c r="V56" s="8">
        <f t="shared" si="23"/>
        <v>7.3695233817925221E-4</v>
      </c>
      <c r="W56" s="2"/>
      <c r="X56" s="7">
        <f t="shared" si="24"/>
        <v>-386.24</v>
      </c>
      <c r="Y56" s="2"/>
      <c r="Z56" s="8">
        <f t="shared" si="25"/>
        <v>-0.74910783553141969</v>
      </c>
    </row>
    <row r="57" spans="1:26" s="24" customFormat="1" hidden="1" outlineLevel="2" x14ac:dyDescent="0.3">
      <c r="A57" s="27"/>
      <c r="B57" s="11" t="str">
        <f>CONCATENATE("          ", "6119", " - ", "SICK LEAVE")</f>
        <v xml:space="preserve">          6119 - SICK LEAVE</v>
      </c>
      <c r="C57" s="11"/>
      <c r="D57" s="7">
        <v>73.8</v>
      </c>
      <c r="E57" s="2"/>
      <c r="F57" s="8">
        <f t="shared" si="18"/>
        <v>2.1492626820404377E-4</v>
      </c>
      <c r="G57" s="2"/>
      <c r="H57" s="7">
        <v>256.57</v>
      </c>
      <c r="I57" s="2"/>
      <c r="J57" s="8">
        <f t="shared" si="19"/>
        <v>5.2183256157083211E-4</v>
      </c>
      <c r="K57" s="2"/>
      <c r="L57" s="7">
        <f t="shared" si="20"/>
        <v>-182.76999999999998</v>
      </c>
      <c r="M57" s="2"/>
      <c r="N57" s="8">
        <f t="shared" si="21"/>
        <v>-0.71235920021826393</v>
      </c>
      <c r="O57" s="11"/>
      <c r="P57" s="7">
        <v>154.97999999999999</v>
      </c>
      <c r="Q57" s="2"/>
      <c r="R57" s="8">
        <f t="shared" si="22"/>
        <v>3.5328723882406554E-4</v>
      </c>
      <c r="S57" s="2"/>
      <c r="T57" s="7">
        <v>513.14</v>
      </c>
      <c r="U57" s="2"/>
      <c r="V57" s="8">
        <f t="shared" si="23"/>
        <v>7.3343623509174052E-4</v>
      </c>
      <c r="W57" s="2"/>
      <c r="X57" s="7">
        <f t="shared" si="24"/>
        <v>-358.15999999999997</v>
      </c>
      <c r="Y57" s="2"/>
      <c r="Z57" s="8">
        <f t="shared" si="25"/>
        <v>-0.69797716022917722</v>
      </c>
    </row>
    <row r="58" spans="1:26" s="24" customFormat="1" hidden="1" outlineLevel="2" x14ac:dyDescent="0.3">
      <c r="A58" s="27"/>
      <c r="B58" s="11" t="str">
        <f>CONCATENATE("          ", "6156", " - ", "EMPLOYEE MEALS")</f>
        <v xml:space="preserve">          6156 - EMPLOYEE MEALS</v>
      </c>
      <c r="C58" s="11"/>
      <c r="D58" s="7"/>
      <c r="E58" s="2"/>
      <c r="F58" s="8">
        <f t="shared" si="18"/>
        <v>0</v>
      </c>
      <c r="G58" s="2"/>
      <c r="H58" s="7">
        <v>196.22</v>
      </c>
      <c r="I58" s="2"/>
      <c r="J58" s="8">
        <f t="shared" si="19"/>
        <v>3.9908791063424668E-4</v>
      </c>
      <c r="K58" s="2"/>
      <c r="L58" s="7">
        <f t="shared" si="20"/>
        <v>-196.22</v>
      </c>
      <c r="M58" s="2"/>
      <c r="N58" s="8">
        <f t="shared" si="21"/>
        <v>-1</v>
      </c>
      <c r="O58" s="11"/>
      <c r="P58" s="7">
        <v>23.71</v>
      </c>
      <c r="Q58" s="2"/>
      <c r="R58" s="8">
        <f t="shared" si="22"/>
        <v>5.4048525180788453E-5</v>
      </c>
      <c r="S58" s="2"/>
      <c r="T58" s="7">
        <v>375.05</v>
      </c>
      <c r="U58" s="2"/>
      <c r="V58" s="8">
        <f t="shared" si="23"/>
        <v>5.3606278982569532E-4</v>
      </c>
      <c r="W58" s="2"/>
      <c r="X58" s="7">
        <f t="shared" si="24"/>
        <v>-351.34000000000003</v>
      </c>
      <c r="Y58" s="2"/>
      <c r="Z58" s="8">
        <f t="shared" si="25"/>
        <v>-0.93678176243167588</v>
      </c>
    </row>
    <row r="59" spans="1:26" s="28" customFormat="1" outlineLevel="1" collapsed="1" x14ac:dyDescent="0.3">
      <c r="A59" s="29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9364.9499999999989</v>
      </c>
      <c r="E59" s="1"/>
      <c r="F59" s="5">
        <f t="shared" ref="F59:F63" si="26">IF(D$12=0,0,D59/D$12)</f>
        <v>2.727335711947777E-2</v>
      </c>
      <c r="G59" s="1"/>
      <c r="H59" s="1">
        <f>SUM(OSRRefH22_1x_0)</f>
        <v>9389.67</v>
      </c>
      <c r="I59" s="1"/>
      <c r="J59" s="5">
        <f t="shared" ref="J59:J63" si="27">IF(H$12=0,0,H59/H$12)</f>
        <v>1.9097460920625153E-2</v>
      </c>
      <c r="K59" s="1"/>
      <c r="L59" s="1">
        <f t="shared" ref="L59:L63" si="28">+D59-H59</f>
        <v>-24.720000000001164</v>
      </c>
      <c r="M59" s="1"/>
      <c r="N59" s="5">
        <f t="shared" ref="N59:N63" si="29">IF(H59=0,0,L59/H59)</f>
        <v>-2.6326803817387791E-3</v>
      </c>
      <c r="O59" s="14"/>
      <c r="P59" s="1">
        <f>SUM(OSRRefP22_1x_0)</f>
        <v>19875.87</v>
      </c>
      <c r="Q59" s="1"/>
      <c r="R59" s="5">
        <f t="shared" ref="R59:R63" si="30">IF(P$12=0,0,P59/P$12)</f>
        <v>4.5308370315692854E-2</v>
      </c>
      <c r="S59" s="1"/>
      <c r="T59" s="1">
        <f>SUM(OSRRefT22_1x_0)</f>
        <v>15807.490000000002</v>
      </c>
      <c r="U59" s="1"/>
      <c r="V59" s="5">
        <f t="shared" ref="V59:V63" si="31">IF(T$12=0,0,T59/T$12)</f>
        <v>2.2593806664556144E-2</v>
      </c>
      <c r="W59" s="1"/>
      <c r="X59" s="1">
        <f t="shared" ref="X59:X63" si="32">+P59-T59</f>
        <v>4068.3799999999974</v>
      </c>
      <c r="Y59" s="1"/>
      <c r="Z59" s="5">
        <f t="shared" ref="Z59:Z63" si="33">IF(T59=0,0,X59/T59)</f>
        <v>0.25737039846300691</v>
      </c>
    </row>
    <row r="60" spans="1:26" s="24" customFormat="1" hidden="1" outlineLevel="2" x14ac:dyDescent="0.3">
      <c r="A60" s="27"/>
      <c r="B60" s="11" t="str">
        <f>CONCATENATE("          ", "6002", " - ", "STAFF SALARIES")</f>
        <v xml:space="preserve">          6002 - STAFF SALARIES</v>
      </c>
      <c r="C60" s="11"/>
      <c r="D60" s="7">
        <v>980.7</v>
      </c>
      <c r="E60" s="2"/>
      <c r="F60" s="8">
        <f t="shared" si="26"/>
        <v>2.8560730518659315E-3</v>
      </c>
      <c r="G60" s="2"/>
      <c r="H60" s="7">
        <v>2054.0700000000002</v>
      </c>
      <c r="I60" s="2"/>
      <c r="J60" s="8">
        <f t="shared" si="27"/>
        <v>4.1777316511899254E-3</v>
      </c>
      <c r="K60" s="2"/>
      <c r="L60" s="7">
        <f t="shared" si="28"/>
        <v>-1073.3700000000001</v>
      </c>
      <c r="M60" s="2"/>
      <c r="N60" s="8">
        <f t="shared" si="29"/>
        <v>-0.52255765382873998</v>
      </c>
      <c r="O60" s="11"/>
      <c r="P60" s="7">
        <v>6094.62</v>
      </c>
      <c r="Q60" s="2"/>
      <c r="R60" s="8">
        <f t="shared" si="30"/>
        <v>1.3893092473105731E-2</v>
      </c>
      <c r="S60" s="2"/>
      <c r="T60" s="7">
        <v>4679.1400000000003</v>
      </c>
      <c r="U60" s="2"/>
      <c r="V60" s="8">
        <f t="shared" si="31"/>
        <v>6.6879425206905858E-3</v>
      </c>
      <c r="W60" s="2"/>
      <c r="X60" s="7">
        <f t="shared" si="32"/>
        <v>1415.4799999999996</v>
      </c>
      <c r="Y60" s="2"/>
      <c r="Z60" s="8">
        <f t="shared" si="33"/>
        <v>0.30250858063661262</v>
      </c>
    </row>
    <row r="61" spans="1:26" s="24" customFormat="1" hidden="1" outlineLevel="2" x14ac:dyDescent="0.3">
      <c r="A61" s="27"/>
      <c r="B61" s="11" t="str">
        <f>CONCATENATE("          ", "6004", " - ", "STAFF HOURLY")</f>
        <v xml:space="preserve">          6004 - STAFF HOURLY</v>
      </c>
      <c r="C61" s="11"/>
      <c r="D61" s="7">
        <v>1109.33</v>
      </c>
      <c r="E61" s="2"/>
      <c r="F61" s="8">
        <f t="shared" si="26"/>
        <v>3.2306796355933858E-3</v>
      </c>
      <c r="G61" s="2"/>
      <c r="H61" s="7">
        <v>3810.96</v>
      </c>
      <c r="I61" s="2"/>
      <c r="J61" s="8">
        <f t="shared" si="27"/>
        <v>7.7510348787620462E-3</v>
      </c>
      <c r="K61" s="2"/>
      <c r="L61" s="7">
        <f t="shared" si="28"/>
        <v>-2701.63</v>
      </c>
      <c r="M61" s="2"/>
      <c r="N61" s="8">
        <f t="shared" si="29"/>
        <v>-0.70891061569788194</v>
      </c>
      <c r="O61" s="11"/>
      <c r="P61" s="7">
        <v>1719.83</v>
      </c>
      <c r="Q61" s="2"/>
      <c r="R61" s="8">
        <f t="shared" si="30"/>
        <v>3.9204671050896414E-3</v>
      </c>
      <c r="S61" s="2"/>
      <c r="T61" s="7">
        <v>6834.71</v>
      </c>
      <c r="U61" s="2"/>
      <c r="V61" s="8">
        <f t="shared" si="31"/>
        <v>9.7689207045715994E-3</v>
      </c>
      <c r="W61" s="2"/>
      <c r="X61" s="7">
        <f t="shared" si="32"/>
        <v>-5114.88</v>
      </c>
      <c r="Y61" s="2"/>
      <c r="Z61" s="8">
        <f t="shared" si="33"/>
        <v>-0.74836825556607378</v>
      </c>
    </row>
    <row r="62" spans="1:26" s="24" customFormat="1" hidden="1" outlineLevel="2" x14ac:dyDescent="0.3">
      <c r="A62" s="27"/>
      <c r="B62" s="11" t="str">
        <f>CONCATENATE("          ", "6007", " - ", "STUDENT HOURLY")</f>
        <v xml:space="preserve">          6007 - STUDENT HOURLY</v>
      </c>
      <c r="C62" s="11"/>
      <c r="D62" s="7">
        <v>6117.37</v>
      </c>
      <c r="E62" s="2"/>
      <c r="F62" s="8">
        <f t="shared" si="26"/>
        <v>1.7815494652078202E-2</v>
      </c>
      <c r="G62" s="2"/>
      <c r="H62" s="7">
        <v>3524.64</v>
      </c>
      <c r="I62" s="2"/>
      <c r="J62" s="8">
        <f t="shared" si="27"/>
        <v>7.1686943906731793E-3</v>
      </c>
      <c r="K62" s="2"/>
      <c r="L62" s="7">
        <f t="shared" si="28"/>
        <v>2592.73</v>
      </c>
      <c r="M62" s="2"/>
      <c r="N62" s="8">
        <f t="shared" si="29"/>
        <v>0.73560136638068008</v>
      </c>
      <c r="O62" s="11"/>
      <c r="P62" s="7">
        <v>10903.87</v>
      </c>
      <c r="Q62" s="2"/>
      <c r="R62" s="8">
        <f t="shared" si="30"/>
        <v>2.4856098366218632E-2</v>
      </c>
      <c r="S62" s="2"/>
      <c r="T62" s="7">
        <v>4293.6400000000003</v>
      </c>
      <c r="U62" s="2"/>
      <c r="V62" s="8">
        <f t="shared" si="31"/>
        <v>6.1369434392939577E-3</v>
      </c>
      <c r="W62" s="2"/>
      <c r="X62" s="7">
        <f t="shared" si="32"/>
        <v>6610.2300000000005</v>
      </c>
      <c r="Y62" s="2"/>
      <c r="Z62" s="8">
        <f t="shared" si="33"/>
        <v>1.5395398775863836</v>
      </c>
    </row>
    <row r="63" spans="1:26" s="24" customFormat="1" hidden="1" outlineLevel="2" x14ac:dyDescent="0.3">
      <c r="A63" s="27"/>
      <c r="B63" s="11" t="str">
        <f>CONCATENATE("          ", "6008", " - ", "STUDENT HOURLY-FICA EXEMPT")</f>
        <v xml:space="preserve">          6008 - STUDENT HOURLY-FICA EXEMPT</v>
      </c>
      <c r="C63" s="11"/>
      <c r="D63" s="7">
        <v>1157.55</v>
      </c>
      <c r="E63" s="2"/>
      <c r="F63" s="8">
        <f t="shared" si="26"/>
        <v>3.3711097799402553E-3</v>
      </c>
      <c r="G63" s="2"/>
      <c r="H63" s="7"/>
      <c r="I63" s="2"/>
      <c r="J63" s="8">
        <f t="shared" si="27"/>
        <v>0</v>
      </c>
      <c r="K63" s="2"/>
      <c r="L63" s="7">
        <f t="shared" si="28"/>
        <v>1157.55</v>
      </c>
      <c r="M63" s="2"/>
      <c r="N63" s="8">
        <f t="shared" si="29"/>
        <v>0</v>
      </c>
      <c r="O63" s="11"/>
      <c r="P63" s="7">
        <v>1157.55</v>
      </c>
      <c r="Q63" s="2"/>
      <c r="R63" s="8">
        <f t="shared" si="30"/>
        <v>2.6387123712788558E-3</v>
      </c>
      <c r="S63" s="2"/>
      <c r="T63" s="7"/>
      <c r="U63" s="2"/>
      <c r="V63" s="8">
        <f t="shared" si="31"/>
        <v>0</v>
      </c>
      <c r="W63" s="2"/>
      <c r="X63" s="7">
        <f t="shared" si="32"/>
        <v>1157.55</v>
      </c>
      <c r="Y63" s="2"/>
      <c r="Z63" s="8">
        <f t="shared" si="33"/>
        <v>0</v>
      </c>
    </row>
    <row r="64" spans="1:26" s="28" customFormat="1" outlineLevel="1" collapsed="1" x14ac:dyDescent="0.3">
      <c r="A64" s="29"/>
      <c r="B64" s="14" t="str">
        <f>CONCATENATE("     ","Advertising/Promo                                 ")</f>
        <v xml:space="preserve">     Advertising/Promo                                 </v>
      </c>
      <c r="C64" s="14"/>
      <c r="D64" s="1">
        <f>SUM(OSRRefD22_2x_0)</f>
        <v>39.619999999999997</v>
      </c>
      <c r="E64" s="1"/>
      <c r="F64" s="5">
        <f t="shared" ref="F64:F72" si="34">IF(D$12=0,0,D64/D$12)</f>
        <v>1.1538453585696766E-4</v>
      </c>
      <c r="G64" s="1"/>
      <c r="H64" s="1">
        <f>SUM(OSRRefH22_2x_0)</f>
        <v>99.23</v>
      </c>
      <c r="I64" s="1"/>
      <c r="J64" s="5">
        <f t="shared" ref="J64:J72" si="35">IF(H$12=0,0,H64/H$12)</f>
        <v>2.0182190078603762E-4</v>
      </c>
      <c r="K64" s="1"/>
      <c r="L64" s="1">
        <f t="shared" ref="L64:L72" si="36">+D64-H64</f>
        <v>-59.610000000000007</v>
      </c>
      <c r="M64" s="1"/>
      <c r="N64" s="5">
        <f t="shared" ref="N64:N72" si="37">IF(H64=0,0,L64/H64)</f>
        <v>-0.60072558702005441</v>
      </c>
      <c r="O64" s="14"/>
      <c r="P64" s="1">
        <f>SUM(OSRRefP22_2x_0)</f>
        <v>85.04</v>
      </c>
      <c r="Q64" s="1"/>
      <c r="R64" s="5">
        <f t="shared" ref="R64:R72" si="38">IF(P$12=0,0,P64/P$12)</f>
        <v>1.938543475906474E-4</v>
      </c>
      <c r="S64" s="1"/>
      <c r="T64" s="1">
        <f>SUM(OSRRefT22_2x_0)</f>
        <v>248.88</v>
      </c>
      <c r="U64" s="1"/>
      <c r="V64" s="5">
        <f t="shared" ref="V64:V72" si="39">IF(T$12=0,0,T64/T$12)</f>
        <v>3.5572672212190123E-4</v>
      </c>
      <c r="W64" s="1"/>
      <c r="X64" s="1">
        <f t="shared" ref="X64:X72" si="40">+P64-T64</f>
        <v>-163.83999999999997</v>
      </c>
      <c r="Y64" s="1"/>
      <c r="Z64" s="5">
        <f t="shared" ref="Z64:Z72" si="41">IF(T64=0,0,X64/T64)</f>
        <v>-0.658309225329476</v>
      </c>
    </row>
    <row r="65" spans="1:26" s="24" customFormat="1" hidden="1" outlineLevel="2" x14ac:dyDescent="0.3">
      <c r="A65" s="27"/>
      <c r="B65" s="11" t="str">
        <f>CONCATENATE("          ", "6362", " - ", "ADVERTISING EXPENSE")</f>
        <v xml:space="preserve">          6362 - ADVERTISING EXPENSE</v>
      </c>
      <c r="C65" s="11"/>
      <c r="D65" s="7">
        <v>39.619999999999997</v>
      </c>
      <c r="E65" s="2"/>
      <c r="F65" s="8">
        <f t="shared" si="34"/>
        <v>1.1538453585696766E-4</v>
      </c>
      <c r="G65" s="2"/>
      <c r="H65" s="7">
        <v>99.23</v>
      </c>
      <c r="I65" s="2"/>
      <c r="J65" s="8">
        <f t="shared" si="35"/>
        <v>2.0182190078603762E-4</v>
      </c>
      <c r="K65" s="2"/>
      <c r="L65" s="7">
        <f t="shared" si="36"/>
        <v>-59.610000000000007</v>
      </c>
      <c r="M65" s="2"/>
      <c r="N65" s="8">
        <f t="shared" si="37"/>
        <v>-0.60072558702005441</v>
      </c>
      <c r="O65" s="11"/>
      <c r="P65" s="7">
        <v>85.04</v>
      </c>
      <c r="Q65" s="2"/>
      <c r="R65" s="8">
        <f t="shared" si="38"/>
        <v>1.938543475906474E-4</v>
      </c>
      <c r="S65" s="2"/>
      <c r="T65" s="7">
        <v>248.88</v>
      </c>
      <c r="U65" s="2"/>
      <c r="V65" s="8">
        <f t="shared" si="39"/>
        <v>3.5572672212190123E-4</v>
      </c>
      <c r="W65" s="2"/>
      <c r="X65" s="7">
        <f t="shared" si="40"/>
        <v>-163.83999999999997</v>
      </c>
      <c r="Y65" s="2"/>
      <c r="Z65" s="8">
        <f t="shared" si="41"/>
        <v>-0.658309225329476</v>
      </c>
    </row>
    <row r="66" spans="1:26" s="28" customFormat="1" outlineLevel="1" collapsed="1" x14ac:dyDescent="0.3">
      <c r="A66" s="29"/>
      <c r="B66" s="14" t="str">
        <f>CONCATENATE("     ","Depreciation                                      ")</f>
        <v xml:space="preserve">     Depreciation                                      </v>
      </c>
      <c r="C66" s="14"/>
      <c r="D66" s="1">
        <f>SUM(OSRRefD22_3x_0)</f>
        <v>280.44</v>
      </c>
      <c r="E66" s="1"/>
      <c r="F66" s="5">
        <f t="shared" si="34"/>
        <v>8.1671981917536636E-4</v>
      </c>
      <c r="G66" s="1"/>
      <c r="H66" s="1">
        <f>SUM(OSRRefH22_3x_0)</f>
        <v>280.44</v>
      </c>
      <c r="I66" s="1"/>
      <c r="J66" s="5">
        <f t="shared" si="35"/>
        <v>5.703812743770673E-4</v>
      </c>
      <c r="K66" s="1"/>
      <c r="L66" s="1">
        <f t="shared" si="36"/>
        <v>0</v>
      </c>
      <c r="M66" s="1"/>
      <c r="N66" s="5">
        <f t="shared" si="37"/>
        <v>0</v>
      </c>
      <c r="O66" s="14"/>
      <c r="P66" s="1">
        <f>SUM(OSRRefP22_3x_0)</f>
        <v>560.88</v>
      </c>
      <c r="Q66" s="1"/>
      <c r="R66" s="5">
        <f t="shared" si="38"/>
        <v>1.2785633405061419E-3</v>
      </c>
      <c r="S66" s="1"/>
      <c r="T66" s="1">
        <f>SUM(OSRRefT22_3x_0)</f>
        <v>560.88</v>
      </c>
      <c r="U66" s="1"/>
      <c r="V66" s="5">
        <f t="shared" si="39"/>
        <v>8.016715039526357E-4</v>
      </c>
      <c r="W66" s="1"/>
      <c r="X66" s="1">
        <f t="shared" si="40"/>
        <v>0</v>
      </c>
      <c r="Y66" s="1"/>
      <c r="Z66" s="5">
        <f t="shared" si="41"/>
        <v>0</v>
      </c>
    </row>
    <row r="67" spans="1:26" s="24" customFormat="1" hidden="1" outlineLevel="2" x14ac:dyDescent="0.3">
      <c r="A67" s="27"/>
      <c r="B67" s="11" t="str">
        <f>CONCATENATE("          ", "6322", " - ", "EQUIPMENT DEPRECIATION EXPENSE")</f>
        <v xml:space="preserve">          6322 - EQUIPMENT DEPRECIATION EXPENSE</v>
      </c>
      <c r="C67" s="11"/>
      <c r="D67" s="7">
        <v>280.44</v>
      </c>
      <c r="E67" s="2"/>
      <c r="F67" s="8">
        <f t="shared" si="34"/>
        <v>8.1671981917536636E-4</v>
      </c>
      <c r="G67" s="2"/>
      <c r="H67" s="7">
        <v>280.44</v>
      </c>
      <c r="I67" s="2"/>
      <c r="J67" s="8">
        <f t="shared" si="35"/>
        <v>5.703812743770673E-4</v>
      </c>
      <c r="K67" s="2"/>
      <c r="L67" s="7">
        <f t="shared" si="36"/>
        <v>0</v>
      </c>
      <c r="M67" s="2"/>
      <c r="N67" s="8">
        <f t="shared" si="37"/>
        <v>0</v>
      </c>
      <c r="O67" s="11"/>
      <c r="P67" s="7">
        <v>560.88</v>
      </c>
      <c r="Q67" s="2"/>
      <c r="R67" s="8">
        <f t="shared" si="38"/>
        <v>1.2785633405061419E-3</v>
      </c>
      <c r="S67" s="2"/>
      <c r="T67" s="7">
        <v>560.88</v>
      </c>
      <c r="U67" s="2"/>
      <c r="V67" s="8">
        <f t="shared" si="39"/>
        <v>8.016715039526357E-4</v>
      </c>
      <c r="W67" s="2"/>
      <c r="X67" s="7">
        <f t="shared" si="40"/>
        <v>0</v>
      </c>
      <c r="Y67" s="2"/>
      <c r="Z67" s="8">
        <f t="shared" si="41"/>
        <v>0</v>
      </c>
    </row>
    <row r="68" spans="1:26" s="28" customFormat="1" outlineLevel="1" collapsed="1" x14ac:dyDescent="0.3">
      <c r="A68" s="29"/>
      <c r="B68" s="14" t="str">
        <f>CONCATENATE("     ","Discounts and Markdowns                           ")</f>
        <v xml:space="preserve">     Discounts and Markdowns                           </v>
      </c>
      <c r="C68" s="14"/>
      <c r="D68" s="1">
        <f>SUM(OSRRefD22_4x_0)</f>
        <v>0</v>
      </c>
      <c r="E68" s="1"/>
      <c r="F68" s="5">
        <f t="shared" si="34"/>
        <v>0</v>
      </c>
      <c r="G68" s="1"/>
      <c r="H68" s="1">
        <f>SUM(OSRRefH22_4x_0)</f>
        <v>0</v>
      </c>
      <c r="I68" s="1"/>
      <c r="J68" s="5">
        <f t="shared" si="35"/>
        <v>0</v>
      </c>
      <c r="K68" s="1"/>
      <c r="L68" s="1">
        <f t="shared" si="36"/>
        <v>0</v>
      </c>
      <c r="M68" s="1"/>
      <c r="N68" s="5">
        <f t="shared" si="37"/>
        <v>0</v>
      </c>
      <c r="O68" s="14"/>
      <c r="P68" s="1">
        <f>SUM(OSRRefP22_4x_0)</f>
        <v>0</v>
      </c>
      <c r="Q68" s="1"/>
      <c r="R68" s="5">
        <f t="shared" si="38"/>
        <v>0</v>
      </c>
      <c r="S68" s="1"/>
      <c r="T68" s="1">
        <f>SUM(OSRRefT22_4x_0)</f>
        <v>0</v>
      </c>
      <c r="U68" s="1"/>
      <c r="V68" s="5">
        <f t="shared" si="39"/>
        <v>0</v>
      </c>
      <c r="W68" s="1"/>
      <c r="X68" s="1">
        <f t="shared" si="40"/>
        <v>0</v>
      </c>
      <c r="Y68" s="1"/>
      <c r="Z68" s="5">
        <f t="shared" si="41"/>
        <v>0</v>
      </c>
    </row>
    <row r="69" spans="1:26" s="24" customFormat="1" hidden="1" outlineLevel="2" x14ac:dyDescent="0.3">
      <c r="A69" s="27"/>
      <c r="B69" s="11" t="str">
        <f>CONCATENATE("          ", "6382", " - ", "DISCOUNTS/MARK DOWNS")</f>
        <v xml:space="preserve">          6382 - DISCOUNTS/MARK DOWNS</v>
      </c>
      <c r="C69" s="11"/>
      <c r="D69" s="7"/>
      <c r="E69" s="2"/>
      <c r="F69" s="8">
        <f t="shared" si="34"/>
        <v>0</v>
      </c>
      <c r="G69" s="2"/>
      <c r="H69" s="7">
        <v>0</v>
      </c>
      <c r="I69" s="2"/>
      <c r="J69" s="8">
        <f t="shared" si="35"/>
        <v>0</v>
      </c>
      <c r="K69" s="2"/>
      <c r="L69" s="7">
        <f t="shared" si="36"/>
        <v>0</v>
      </c>
      <c r="M69" s="2"/>
      <c r="N69" s="8">
        <f t="shared" si="37"/>
        <v>0</v>
      </c>
      <c r="O69" s="11"/>
      <c r="P69" s="7"/>
      <c r="Q69" s="2"/>
      <c r="R69" s="8">
        <f t="shared" si="38"/>
        <v>0</v>
      </c>
      <c r="S69" s="2"/>
      <c r="T69" s="7">
        <v>0</v>
      </c>
      <c r="U69" s="2"/>
      <c r="V69" s="8">
        <f t="shared" si="39"/>
        <v>0</v>
      </c>
      <c r="W69" s="2"/>
      <c r="X69" s="7">
        <f t="shared" si="40"/>
        <v>0</v>
      </c>
      <c r="Y69" s="2"/>
      <c r="Z69" s="8">
        <f t="shared" si="41"/>
        <v>0</v>
      </c>
    </row>
    <row r="70" spans="1:26" s="28" customFormat="1" outlineLevel="1" collapsed="1" x14ac:dyDescent="0.3">
      <c r="A70" s="29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SUM(OSRRefD22_5x_0)</f>
        <v>0</v>
      </c>
      <c r="E70" s="1"/>
      <c r="F70" s="5">
        <f t="shared" si="34"/>
        <v>0</v>
      </c>
      <c r="G70" s="1"/>
      <c r="H70" s="1">
        <f>SUM(OSRRefH22_5x_0)</f>
        <v>179.14000000000001</v>
      </c>
      <c r="I70" s="1"/>
      <c r="J70" s="5">
        <f t="shared" si="35"/>
        <v>3.6434924223330425E-4</v>
      </c>
      <c r="K70" s="1"/>
      <c r="L70" s="1">
        <f t="shared" si="36"/>
        <v>-179.14000000000001</v>
      </c>
      <c r="M70" s="1"/>
      <c r="N70" s="5">
        <f t="shared" si="37"/>
        <v>-1</v>
      </c>
      <c r="O70" s="14"/>
      <c r="P70" s="1">
        <f>SUM(OSRRefP22_5x_0)</f>
        <v>93.19</v>
      </c>
      <c r="Q70" s="1"/>
      <c r="R70" s="5">
        <f t="shared" si="38"/>
        <v>2.1243281575696648E-4</v>
      </c>
      <c r="S70" s="1"/>
      <c r="T70" s="1">
        <f>SUM(OSRRefT22_5x_0)</f>
        <v>189.75</v>
      </c>
      <c r="U70" s="1"/>
      <c r="V70" s="5">
        <f t="shared" si="39"/>
        <v>2.7121161010378801E-4</v>
      </c>
      <c r="W70" s="1"/>
      <c r="X70" s="1">
        <f t="shared" si="40"/>
        <v>-96.56</v>
      </c>
      <c r="Y70" s="1"/>
      <c r="Z70" s="5">
        <f t="shared" si="41"/>
        <v>-0.50888010540184458</v>
      </c>
    </row>
    <row r="71" spans="1:26" s="24" customFormat="1" hidden="1" outlineLevel="2" x14ac:dyDescent="0.3">
      <c r="A71" s="27"/>
      <c r="B71" s="11" t="str">
        <f>CONCATENATE("          ", "6305", " - ", "FREIGHT OUT")</f>
        <v xml:space="preserve">          6305 - FREIGHT OUT</v>
      </c>
      <c r="C71" s="11"/>
      <c r="D71" s="7"/>
      <c r="E71" s="2"/>
      <c r="F71" s="8">
        <f t="shared" si="34"/>
        <v>0</v>
      </c>
      <c r="G71" s="2"/>
      <c r="H71" s="7">
        <v>175.34</v>
      </c>
      <c r="I71" s="2"/>
      <c r="J71" s="8">
        <f t="shared" si="35"/>
        <v>3.5662049867805939E-4</v>
      </c>
      <c r="K71" s="2"/>
      <c r="L71" s="7">
        <f t="shared" si="36"/>
        <v>-175.34</v>
      </c>
      <c r="M71" s="2"/>
      <c r="N71" s="8">
        <f t="shared" si="37"/>
        <v>-1</v>
      </c>
      <c r="O71" s="11"/>
      <c r="P71" s="7">
        <v>93.19</v>
      </c>
      <c r="Q71" s="2"/>
      <c r="R71" s="8">
        <f t="shared" si="38"/>
        <v>2.1243281575696648E-4</v>
      </c>
      <c r="S71" s="2"/>
      <c r="T71" s="7">
        <v>180.95</v>
      </c>
      <c r="U71" s="2"/>
      <c r="V71" s="8">
        <f t="shared" si="39"/>
        <v>2.5863368035984418E-4</v>
      </c>
      <c r="W71" s="2"/>
      <c r="X71" s="7">
        <f t="shared" si="40"/>
        <v>-87.759999999999991</v>
      </c>
      <c r="Y71" s="2"/>
      <c r="Z71" s="8">
        <f t="shared" si="41"/>
        <v>-0.48499585520862115</v>
      </c>
    </row>
    <row r="72" spans="1:26" s="24" customFormat="1" hidden="1" outlineLevel="2" x14ac:dyDescent="0.3">
      <c r="A72" s="27"/>
      <c r="B72" s="11" t="str">
        <f>CONCATENATE("          ", "6307", " - ", "POSTAGE")</f>
        <v xml:space="preserve">          6307 - POSTAGE</v>
      </c>
      <c r="C72" s="11"/>
      <c r="D72" s="7"/>
      <c r="E72" s="2"/>
      <c r="F72" s="8">
        <f t="shared" si="34"/>
        <v>0</v>
      </c>
      <c r="G72" s="2"/>
      <c r="H72" s="7">
        <v>3.8</v>
      </c>
      <c r="I72" s="2"/>
      <c r="J72" s="8">
        <f t="shared" si="35"/>
        <v>7.7287435552448136E-6</v>
      </c>
      <c r="K72" s="2"/>
      <c r="L72" s="7">
        <f t="shared" si="36"/>
        <v>-3.8</v>
      </c>
      <c r="M72" s="2"/>
      <c r="N72" s="8">
        <f t="shared" si="37"/>
        <v>-1</v>
      </c>
      <c r="O72" s="11"/>
      <c r="P72" s="7"/>
      <c r="Q72" s="2"/>
      <c r="R72" s="8">
        <f t="shared" si="38"/>
        <v>0</v>
      </c>
      <c r="S72" s="2"/>
      <c r="T72" s="7">
        <v>8.8000000000000007</v>
      </c>
      <c r="U72" s="2"/>
      <c r="V72" s="8">
        <f t="shared" si="39"/>
        <v>1.2577929743943792E-5</v>
      </c>
      <c r="W72" s="2"/>
      <c r="X72" s="7">
        <f t="shared" si="40"/>
        <v>-8.8000000000000007</v>
      </c>
      <c r="Y72" s="2"/>
      <c r="Z72" s="8">
        <f t="shared" si="41"/>
        <v>-1</v>
      </c>
    </row>
    <row r="73" spans="1:26" s="28" customFormat="1" outlineLevel="1" collapsed="1" x14ac:dyDescent="0.3">
      <c r="A73" s="29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SUM(OSRRefD22_6x_0)</f>
        <v>0</v>
      </c>
      <c r="E73" s="1"/>
      <c r="F73" s="5">
        <f t="shared" ref="F73:F80" si="42">IF(D$12=0,0,D73/D$12)</f>
        <v>0</v>
      </c>
      <c r="G73" s="1"/>
      <c r="H73" s="1">
        <f>SUM(OSRRefH22_6x_0)</f>
        <v>0</v>
      </c>
      <c r="I73" s="1"/>
      <c r="J73" s="5">
        <f t="shared" ref="J73:J80" si="43">IF(H$12=0,0,H73/H$12)</f>
        <v>0</v>
      </c>
      <c r="K73" s="1"/>
      <c r="L73" s="1">
        <f t="shared" ref="L73:L80" si="44">+D73-H73</f>
        <v>0</v>
      </c>
      <c r="M73" s="1"/>
      <c r="N73" s="5">
        <f t="shared" ref="N73:N80" si="45">IF(H73=0,0,L73/H73)</f>
        <v>0</v>
      </c>
      <c r="O73" s="14"/>
      <c r="P73" s="1">
        <f>SUM(OSRRefP22_6x_0)</f>
        <v>0</v>
      </c>
      <c r="Q73" s="1"/>
      <c r="R73" s="5">
        <f t="shared" ref="R73:R80" si="46">IF(P$12=0,0,P73/P$12)</f>
        <v>0</v>
      </c>
      <c r="S73" s="1"/>
      <c r="T73" s="1">
        <f>SUM(OSRRefT22_6x_0)</f>
        <v>-30.15</v>
      </c>
      <c r="U73" s="1"/>
      <c r="V73" s="5">
        <f t="shared" ref="V73:V80" si="47">IF(T$12=0,0,T73/T$12)</f>
        <v>-4.3093702474989239E-5</v>
      </c>
      <c r="W73" s="1"/>
      <c r="X73" s="1">
        <f t="shared" ref="X73:X80" si="48">+P73-T73</f>
        <v>30.15</v>
      </c>
      <c r="Y73" s="1"/>
      <c r="Z73" s="5">
        <f t="shared" ref="Z73:Z80" si="49">IF(T73=0,0,X73/T73)</f>
        <v>-1</v>
      </c>
    </row>
    <row r="74" spans="1:26" s="24" customFormat="1" hidden="1" outlineLevel="2" x14ac:dyDescent="0.3">
      <c r="A74" s="27"/>
      <c r="B74" s="11" t="str">
        <f>CONCATENATE("          ", "6279", " - ", "GENERAL EXPENSE")</f>
        <v xml:space="preserve">          6279 - GENERAL EXPENSE</v>
      </c>
      <c r="C74" s="11"/>
      <c r="D74" s="7"/>
      <c r="E74" s="2"/>
      <c r="F74" s="8">
        <f t="shared" si="42"/>
        <v>0</v>
      </c>
      <c r="G74" s="2"/>
      <c r="H74" s="7"/>
      <c r="I74" s="2"/>
      <c r="J74" s="8">
        <f t="shared" si="43"/>
        <v>0</v>
      </c>
      <c r="K74" s="2"/>
      <c r="L74" s="7">
        <f t="shared" si="44"/>
        <v>0</v>
      </c>
      <c r="M74" s="2"/>
      <c r="N74" s="8">
        <f t="shared" si="45"/>
        <v>0</v>
      </c>
      <c r="O74" s="11"/>
      <c r="P74" s="7"/>
      <c r="Q74" s="2"/>
      <c r="R74" s="8">
        <f t="shared" si="46"/>
        <v>0</v>
      </c>
      <c r="S74" s="2"/>
      <c r="T74" s="7">
        <v>-30.15</v>
      </c>
      <c r="U74" s="2"/>
      <c r="V74" s="8">
        <f t="shared" si="47"/>
        <v>-4.3093702474989239E-5</v>
      </c>
      <c r="W74" s="2"/>
      <c r="X74" s="7">
        <f t="shared" si="48"/>
        <v>30.15</v>
      </c>
      <c r="Y74" s="2"/>
      <c r="Z74" s="8">
        <f t="shared" si="49"/>
        <v>-1</v>
      </c>
    </row>
    <row r="75" spans="1:26" s="28" customFormat="1" outlineLevel="1" collapsed="1" x14ac:dyDescent="0.3">
      <c r="A75" s="29"/>
      <c r="B75" s="14" t="str">
        <f>CONCATENATE("     ","Inventory Adjustment                              ")</f>
        <v xml:space="preserve">     Inventory Adjustment                              </v>
      </c>
      <c r="C75" s="14"/>
      <c r="D75" s="1">
        <f>SUM(OSRRefD22_7x_0)</f>
        <v>2020</v>
      </c>
      <c r="E75" s="1"/>
      <c r="F75" s="5">
        <f t="shared" si="42"/>
        <v>5.8828057150700332E-3</v>
      </c>
      <c r="G75" s="1"/>
      <c r="H75" s="1">
        <f>SUM(OSRRefH22_7x_0)</f>
        <v>1250</v>
      </c>
      <c r="I75" s="1"/>
      <c r="J75" s="5">
        <f t="shared" si="43"/>
        <v>2.542349853698952E-3</v>
      </c>
      <c r="K75" s="1"/>
      <c r="L75" s="1">
        <f t="shared" si="44"/>
        <v>770</v>
      </c>
      <c r="M75" s="1"/>
      <c r="N75" s="5">
        <f t="shared" si="45"/>
        <v>0.61599999999999999</v>
      </c>
      <c r="O75" s="14"/>
      <c r="P75" s="1">
        <f>SUM(OSRRefP22_7x_0)</f>
        <v>3490</v>
      </c>
      <c r="Q75" s="1"/>
      <c r="R75" s="5">
        <f t="shared" si="46"/>
        <v>7.9556875951476876E-3</v>
      </c>
      <c r="S75" s="1"/>
      <c r="T75" s="1">
        <f>SUM(OSRRefT22_7x_0)</f>
        <v>2500</v>
      </c>
      <c r="U75" s="1"/>
      <c r="V75" s="5">
        <f t="shared" si="47"/>
        <v>3.5732754954385772E-3</v>
      </c>
      <c r="W75" s="1"/>
      <c r="X75" s="1">
        <f t="shared" si="48"/>
        <v>990</v>
      </c>
      <c r="Y75" s="1"/>
      <c r="Z75" s="5">
        <f t="shared" si="49"/>
        <v>0.39600000000000002</v>
      </c>
    </row>
    <row r="76" spans="1:26" s="24" customFormat="1" hidden="1" outlineLevel="2" x14ac:dyDescent="0.3">
      <c r="A76" s="27"/>
      <c r="B76" s="11" t="str">
        <f>CONCATENATE("          ", "6408", " - ", "INVENTORY ADJUSTMENT")</f>
        <v xml:space="preserve">          6408 - INVENTORY ADJUSTMENT</v>
      </c>
      <c r="C76" s="11"/>
      <c r="D76" s="7">
        <v>2020</v>
      </c>
      <c r="E76" s="2"/>
      <c r="F76" s="8">
        <f t="shared" si="42"/>
        <v>5.8828057150700332E-3</v>
      </c>
      <c r="G76" s="2"/>
      <c r="H76" s="7">
        <v>1250</v>
      </c>
      <c r="I76" s="2"/>
      <c r="J76" s="8">
        <f t="shared" si="43"/>
        <v>2.542349853698952E-3</v>
      </c>
      <c r="K76" s="2"/>
      <c r="L76" s="7">
        <f t="shared" si="44"/>
        <v>770</v>
      </c>
      <c r="M76" s="2"/>
      <c r="N76" s="8">
        <f t="shared" si="45"/>
        <v>0.61599999999999999</v>
      </c>
      <c r="O76" s="11"/>
      <c r="P76" s="7">
        <v>3490</v>
      </c>
      <c r="Q76" s="2"/>
      <c r="R76" s="8">
        <f t="shared" si="46"/>
        <v>7.9556875951476876E-3</v>
      </c>
      <c r="S76" s="2"/>
      <c r="T76" s="7">
        <v>2500</v>
      </c>
      <c r="U76" s="2"/>
      <c r="V76" s="8">
        <f t="shared" si="47"/>
        <v>3.5732754954385772E-3</v>
      </c>
      <c r="W76" s="2"/>
      <c r="X76" s="7">
        <f t="shared" si="48"/>
        <v>990</v>
      </c>
      <c r="Y76" s="2"/>
      <c r="Z76" s="8">
        <f t="shared" si="49"/>
        <v>0.39600000000000002</v>
      </c>
    </row>
    <row r="77" spans="1:26" s="28" customFormat="1" outlineLevel="1" collapsed="1" x14ac:dyDescent="0.3">
      <c r="A77" s="29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SUM(OSRRefD22_8x_0)</f>
        <v>1167.48</v>
      </c>
      <c r="E77" s="1"/>
      <c r="F77" s="5">
        <f t="shared" si="42"/>
        <v>3.4000287209059216E-3</v>
      </c>
      <c r="G77" s="1"/>
      <c r="H77" s="1">
        <f>SUM(OSRRefH22_8x_0)</f>
        <v>787.43</v>
      </c>
      <c r="I77" s="1"/>
      <c r="J77" s="5">
        <f t="shared" si="43"/>
        <v>1.6015380362385326E-3</v>
      </c>
      <c r="K77" s="1"/>
      <c r="L77" s="1">
        <f t="shared" si="44"/>
        <v>380.05000000000007</v>
      </c>
      <c r="M77" s="1"/>
      <c r="N77" s="5">
        <f t="shared" si="45"/>
        <v>0.48264607647663932</v>
      </c>
      <c r="O77" s="14"/>
      <c r="P77" s="1">
        <f>SUM(OSRRefP22_8x_0)</f>
        <v>3209.2799999999997</v>
      </c>
      <c r="Q77" s="1"/>
      <c r="R77" s="5">
        <f t="shared" si="46"/>
        <v>7.315767646233688E-3</v>
      </c>
      <c r="S77" s="1"/>
      <c r="T77" s="1">
        <f>SUM(OSRRefT22_8x_0)</f>
        <v>1455.55</v>
      </c>
      <c r="U77" s="1"/>
      <c r="V77" s="5">
        <f t="shared" si="47"/>
        <v>2.0804324589542484E-3</v>
      </c>
      <c r="W77" s="1"/>
      <c r="X77" s="1">
        <f t="shared" si="48"/>
        <v>1753.7299999999998</v>
      </c>
      <c r="Y77" s="1"/>
      <c r="Z77" s="5">
        <f t="shared" si="49"/>
        <v>1.2048572704475971</v>
      </c>
    </row>
    <row r="78" spans="1:26" s="24" customFormat="1" hidden="1" outlineLevel="2" x14ac:dyDescent="0.3">
      <c r="A78" s="27"/>
      <c r="B78" s="11" t="str">
        <f>CONCATENATE("          ", "6235", " - ", "COVID-19 EXPENSES")</f>
        <v xml:space="preserve">          6235 - COVID-19 EXPENSES</v>
      </c>
      <c r="C78" s="11"/>
      <c r="D78" s="7"/>
      <c r="E78" s="2"/>
      <c r="F78" s="8">
        <f t="shared" si="42"/>
        <v>0</v>
      </c>
      <c r="G78" s="2"/>
      <c r="H78" s="7"/>
      <c r="I78" s="2"/>
      <c r="J78" s="8">
        <f t="shared" si="43"/>
        <v>0</v>
      </c>
      <c r="K78" s="2"/>
      <c r="L78" s="7">
        <f t="shared" si="44"/>
        <v>0</v>
      </c>
      <c r="M78" s="2"/>
      <c r="N78" s="8">
        <f t="shared" si="45"/>
        <v>0</v>
      </c>
      <c r="O78" s="11"/>
      <c r="P78" s="7"/>
      <c r="Q78" s="2"/>
      <c r="R78" s="8">
        <f t="shared" si="46"/>
        <v>0</v>
      </c>
      <c r="S78" s="2"/>
      <c r="T78" s="7">
        <v>668.12</v>
      </c>
      <c r="U78" s="2"/>
      <c r="V78" s="8">
        <f t="shared" si="47"/>
        <v>9.5495072960496887E-4</v>
      </c>
      <c r="W78" s="2"/>
      <c r="X78" s="7">
        <f t="shared" si="48"/>
        <v>-668.12</v>
      </c>
      <c r="Y78" s="2"/>
      <c r="Z78" s="8">
        <f t="shared" si="49"/>
        <v>-1</v>
      </c>
    </row>
    <row r="79" spans="1:26" s="24" customFormat="1" hidden="1" outlineLevel="2" x14ac:dyDescent="0.3">
      <c r="A79" s="27"/>
      <c r="B79" s="11" t="str">
        <f>CONCATENATE("          ", "6241", " - ", "OFFICE EXPENSE")</f>
        <v xml:space="preserve">          6241 - OFFICE EXPENSE</v>
      </c>
      <c r="C79" s="11"/>
      <c r="D79" s="7">
        <v>288.48</v>
      </c>
      <c r="E79" s="2"/>
      <c r="F79" s="8">
        <f t="shared" si="42"/>
        <v>8.4013455083336794E-4</v>
      </c>
      <c r="G79" s="2"/>
      <c r="H79" s="7">
        <v>787.43</v>
      </c>
      <c r="I79" s="2"/>
      <c r="J79" s="8">
        <f t="shared" si="43"/>
        <v>1.6015380362385326E-3</v>
      </c>
      <c r="K79" s="2"/>
      <c r="L79" s="7">
        <f t="shared" si="44"/>
        <v>-498.94999999999993</v>
      </c>
      <c r="M79" s="2"/>
      <c r="N79" s="8">
        <f t="shared" si="45"/>
        <v>-0.63364362546512065</v>
      </c>
      <c r="O79" s="11"/>
      <c r="P79" s="7">
        <v>297.27999999999997</v>
      </c>
      <c r="Q79" s="2"/>
      <c r="R79" s="8">
        <f t="shared" si="46"/>
        <v>6.7766957257464318E-4</v>
      </c>
      <c r="S79" s="2"/>
      <c r="T79" s="7">
        <v>787.43</v>
      </c>
      <c r="U79" s="2"/>
      <c r="V79" s="8">
        <f t="shared" si="47"/>
        <v>1.1254817293492795E-3</v>
      </c>
      <c r="W79" s="2"/>
      <c r="X79" s="7">
        <f t="shared" si="48"/>
        <v>-490.15</v>
      </c>
      <c r="Y79" s="2"/>
      <c r="Z79" s="8">
        <f t="shared" si="49"/>
        <v>-0.62246802890415653</v>
      </c>
    </row>
    <row r="80" spans="1:26" s="24" customFormat="1" hidden="1" outlineLevel="2" x14ac:dyDescent="0.3">
      <c r="A80" s="27"/>
      <c r="B80" s="11" t="str">
        <f>CONCATENATE("          ", "6247", " - ", "STORE SUPPLIES")</f>
        <v xml:space="preserve">          6247 - STORE SUPPLIES</v>
      </c>
      <c r="C80" s="11"/>
      <c r="D80" s="7">
        <v>879</v>
      </c>
      <c r="E80" s="2"/>
      <c r="F80" s="8">
        <f t="shared" si="42"/>
        <v>2.5598941700725538E-3</v>
      </c>
      <c r="G80" s="2"/>
      <c r="H80" s="7"/>
      <c r="I80" s="2"/>
      <c r="J80" s="8">
        <f t="shared" si="43"/>
        <v>0</v>
      </c>
      <c r="K80" s="2"/>
      <c r="L80" s="7">
        <f t="shared" si="44"/>
        <v>879</v>
      </c>
      <c r="M80" s="2"/>
      <c r="N80" s="8">
        <f t="shared" si="45"/>
        <v>0</v>
      </c>
      <c r="O80" s="11"/>
      <c r="P80" s="7">
        <v>2912</v>
      </c>
      <c r="Q80" s="2"/>
      <c r="R80" s="8">
        <f t="shared" si="46"/>
        <v>6.6380980736590453E-3</v>
      </c>
      <c r="S80" s="2"/>
      <c r="T80" s="7"/>
      <c r="U80" s="2"/>
      <c r="V80" s="8">
        <f t="shared" si="47"/>
        <v>0</v>
      </c>
      <c r="W80" s="2"/>
      <c r="X80" s="7">
        <f t="shared" si="48"/>
        <v>2912</v>
      </c>
      <c r="Y80" s="2"/>
      <c r="Z80" s="8">
        <f t="shared" si="49"/>
        <v>0</v>
      </c>
    </row>
    <row r="81" spans="1:26" s="28" customFormat="1" outlineLevel="1" collapsed="1" x14ac:dyDescent="0.3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SUM(OSRRefD22_9x_0)</f>
        <v>168.2</v>
      </c>
      <c r="E81" s="1"/>
      <c r="F81" s="5">
        <f t="shared" ref="F81:F82" si="50">IF(D$12=0,0,D81/D$12)</f>
        <v>4.8984550558157393E-4</v>
      </c>
      <c r="G81" s="1"/>
      <c r="H81" s="1">
        <f>SUM(OSRRefH22_9x_0)</f>
        <v>306.75</v>
      </c>
      <c r="I81" s="1"/>
      <c r="J81" s="5">
        <f t="shared" ref="J81:J82" si="51">IF(H$12=0,0,H81/H$12)</f>
        <v>6.2389265409772284E-4</v>
      </c>
      <c r="K81" s="1"/>
      <c r="L81" s="1">
        <f t="shared" ref="L81:L82" si="52">+D81-H81</f>
        <v>-138.55000000000001</v>
      </c>
      <c r="M81" s="1"/>
      <c r="N81" s="5">
        <f t="shared" ref="N81:N82" si="53">IF(H81=0,0,L81/H81)</f>
        <v>-0.45167074164629178</v>
      </c>
      <c r="O81" s="14"/>
      <c r="P81" s="1">
        <f>SUM(OSRRefP22_9x_0)</f>
        <v>451.5</v>
      </c>
      <c r="Q81" s="1"/>
      <c r="R81" s="5">
        <f t="shared" ref="R81:R82" si="54">IF(P$12=0,0,P81/P$12)</f>
        <v>1.0292243407476163E-3</v>
      </c>
      <c r="S81" s="1"/>
      <c r="T81" s="1">
        <f>SUM(OSRRefT22_9x_0)</f>
        <v>611.54999999999995</v>
      </c>
      <c r="U81" s="1"/>
      <c r="V81" s="5">
        <f t="shared" ref="V81:V82" si="55">IF(T$12=0,0,T81/T$12)</f>
        <v>8.7409465169418468E-4</v>
      </c>
      <c r="W81" s="1"/>
      <c r="X81" s="1">
        <f t="shared" ref="X81:X82" si="56">+P81-T81</f>
        <v>-160.04999999999995</v>
      </c>
      <c r="Y81" s="1"/>
      <c r="Z81" s="5">
        <f t="shared" ref="Z81:Z82" si="57">IF(T81=0,0,X81/T81)</f>
        <v>-0.26171204316899677</v>
      </c>
    </row>
    <row r="82" spans="1:26" s="24" customFormat="1" hidden="1" outlineLevel="2" x14ac:dyDescent="0.3">
      <c r="A82" s="27"/>
      <c r="B82" s="11" t="str">
        <f>CONCATENATE("          ", "6309", " - ", "TELEPHONE")</f>
        <v xml:space="preserve">          6309 - TELEPHONE</v>
      </c>
      <c r="C82" s="11"/>
      <c r="D82" s="7">
        <v>168.2</v>
      </c>
      <c r="E82" s="2"/>
      <c r="F82" s="8">
        <f t="shared" si="50"/>
        <v>4.8984550558157393E-4</v>
      </c>
      <c r="G82" s="2"/>
      <c r="H82" s="7">
        <v>306.75</v>
      </c>
      <c r="I82" s="2"/>
      <c r="J82" s="8">
        <f t="shared" si="51"/>
        <v>6.2389265409772284E-4</v>
      </c>
      <c r="K82" s="2"/>
      <c r="L82" s="7">
        <f t="shared" si="52"/>
        <v>-138.55000000000001</v>
      </c>
      <c r="M82" s="2"/>
      <c r="N82" s="8">
        <f t="shared" si="53"/>
        <v>-0.45167074164629178</v>
      </c>
      <c r="O82" s="11"/>
      <c r="P82" s="7">
        <v>451.5</v>
      </c>
      <c r="Q82" s="2"/>
      <c r="R82" s="8">
        <f t="shared" si="54"/>
        <v>1.0292243407476163E-3</v>
      </c>
      <c r="S82" s="2"/>
      <c r="T82" s="7">
        <v>611.54999999999995</v>
      </c>
      <c r="U82" s="2"/>
      <c r="V82" s="8">
        <f t="shared" si="55"/>
        <v>8.7409465169418468E-4</v>
      </c>
      <c r="W82" s="2"/>
      <c r="X82" s="7">
        <f t="shared" si="56"/>
        <v>-160.04999999999995</v>
      </c>
      <c r="Y82" s="2"/>
      <c r="Z82" s="8">
        <f t="shared" si="57"/>
        <v>-0.26171204316899677</v>
      </c>
    </row>
    <row r="83" spans="1:26" s="61" customFormat="1" x14ac:dyDescent="0.3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collapsed="1" x14ac:dyDescent="0.3">
      <c r="A84" s="10"/>
      <c r="B84" s="26" t="s">
        <v>292</v>
      </c>
      <c r="C84" s="10"/>
      <c r="D84" s="4">
        <f>SUM(OSRRefD25x_0)</f>
        <v>2187.9499999999998</v>
      </c>
      <c r="E84" s="4"/>
      <c r="F84" s="12">
        <f t="shared" ref="F84:F87" si="58">IF(D$12=0,0,D84/D$12)</f>
        <v>6.3719231506373653E-3</v>
      </c>
      <c r="G84" s="4"/>
      <c r="H84" s="4">
        <f>SUM(OSRRefH25x_0)</f>
        <v>-138.80000000000001</v>
      </c>
      <c r="I84" s="4"/>
      <c r="J84" s="12">
        <f t="shared" ref="J84:J87" si="59">IF(H$12=0,0,H84/H$12)</f>
        <v>-2.8230252775473163E-4</v>
      </c>
      <c r="K84" s="4"/>
      <c r="L84" s="4">
        <f t="shared" ref="L84:L87" si="60">+D84-H84</f>
        <v>2326.75</v>
      </c>
      <c r="M84" s="4"/>
      <c r="N84" s="12">
        <f t="shared" ref="N84:N87" si="61">IF(H84=0,0,L84/H84)</f>
        <v>-16.763328530259365</v>
      </c>
      <c r="O84" s="10"/>
      <c r="P84" s="4">
        <f>SUM(OSRRefP25x_0)</f>
        <v>2381.33</v>
      </c>
      <c r="Q84" s="4"/>
      <c r="R84" s="12">
        <f t="shared" ref="R84:R87" si="62">IF(P$12=0,0,P84/P$12)</f>
        <v>5.4284004415338233E-3</v>
      </c>
      <c r="S84" s="4"/>
      <c r="T84" s="4">
        <f>SUM(OSRRefT25x_0)</f>
        <v>-514.16</v>
      </c>
      <c r="U84" s="4"/>
      <c r="V84" s="12">
        <f t="shared" ref="V84:V87" si="63">IF(T$12=0,0,T84/T$12)</f>
        <v>-7.3489413149387952E-4</v>
      </c>
      <c r="W84" s="4"/>
      <c r="X84" s="4">
        <f t="shared" ref="X84:X87" si="64">+P84-T84</f>
        <v>2895.49</v>
      </c>
      <c r="Y84" s="4"/>
      <c r="Z84" s="12">
        <f t="shared" ref="Z84:Z87" si="65">IF(T84=0,0,X84/T84)</f>
        <v>-5.6314960323634669</v>
      </c>
    </row>
    <row r="85" spans="1:26" s="24" customFormat="1" hidden="1" outlineLevel="1" x14ac:dyDescent="0.3">
      <c r="A85" s="44"/>
      <c r="B85" s="11" t="str">
        <f>CONCATENATE("          ", "4187", " - ", "NON-TAXABLE SALES-COMPUTER REP")</f>
        <v xml:space="preserve">          4187 - NON-TAXABLE SALES-COMPUTER REP</v>
      </c>
      <c r="C85" s="11"/>
      <c r="D85" s="2">
        <f>0</f>
        <v>0</v>
      </c>
      <c r="E85" s="2"/>
      <c r="F85" s="19">
        <f t="shared" si="58"/>
        <v>0</v>
      </c>
      <c r="G85" s="2"/>
      <c r="H85" s="2">
        <f t="shared" ref="H85:H86" si="66">0</f>
        <v>0</v>
      </c>
      <c r="I85" s="2"/>
      <c r="J85" s="19">
        <f t="shared" si="59"/>
        <v>0</v>
      </c>
      <c r="K85" s="2"/>
      <c r="L85" s="2">
        <f t="shared" si="60"/>
        <v>0</v>
      </c>
      <c r="M85" s="2"/>
      <c r="N85" s="19">
        <f t="shared" si="61"/>
        <v>0</v>
      </c>
      <c r="O85" s="11"/>
      <c r="P85" s="2">
        <f>0</f>
        <v>0</v>
      </c>
      <c r="Q85" s="2"/>
      <c r="R85" s="19">
        <f t="shared" si="62"/>
        <v>0</v>
      </c>
      <c r="S85" s="2"/>
      <c r="T85" s="2">
        <f>--19.99</f>
        <v>19.989999999999998</v>
      </c>
      <c r="U85" s="2"/>
      <c r="V85" s="19">
        <f t="shared" si="63"/>
        <v>2.8571910861526861E-5</v>
      </c>
      <c r="W85" s="2"/>
      <c r="X85" s="2">
        <f t="shared" si="64"/>
        <v>-19.989999999999998</v>
      </c>
      <c r="Y85" s="2"/>
      <c r="Z85" s="19">
        <f t="shared" si="65"/>
        <v>-1</v>
      </c>
    </row>
    <row r="86" spans="1:26" s="24" customFormat="1" hidden="1" outlineLevel="1" x14ac:dyDescent="0.3">
      <c r="A86" s="44"/>
      <c r="B86" s="11" t="str">
        <f>CONCATENATE("          ", "9087", " - ", "")</f>
        <v xml:space="preserve">          9087 - </v>
      </c>
      <c r="C86" s="11"/>
      <c r="D86" s="2">
        <f>--946.54</f>
        <v>946.54</v>
      </c>
      <c r="E86" s="2"/>
      <c r="F86" s="19">
        <f t="shared" si="58"/>
        <v>2.7565895651199945E-3</v>
      </c>
      <c r="G86" s="2"/>
      <c r="H86" s="2">
        <f t="shared" si="66"/>
        <v>0</v>
      </c>
      <c r="I86" s="2"/>
      <c r="J86" s="19">
        <f t="shared" si="59"/>
        <v>0</v>
      </c>
      <c r="K86" s="2"/>
      <c r="L86" s="2">
        <f t="shared" si="60"/>
        <v>946.54</v>
      </c>
      <c r="M86" s="2"/>
      <c r="N86" s="19">
        <f t="shared" si="61"/>
        <v>0</v>
      </c>
      <c r="O86" s="11"/>
      <c r="P86" s="2">
        <f>--1020.01</f>
        <v>1020.01</v>
      </c>
      <c r="Q86" s="2"/>
      <c r="R86" s="19">
        <f t="shared" si="62"/>
        <v>2.3251807747640667E-3</v>
      </c>
      <c r="S86" s="2"/>
      <c r="T86" s="2">
        <f>0</f>
        <v>0</v>
      </c>
      <c r="U86" s="2"/>
      <c r="V86" s="19">
        <f t="shared" si="63"/>
        <v>0</v>
      </c>
      <c r="W86" s="2"/>
      <c r="X86" s="2">
        <f t="shared" si="64"/>
        <v>1020.01</v>
      </c>
      <c r="Y86" s="2"/>
      <c r="Z86" s="19">
        <f t="shared" si="65"/>
        <v>0</v>
      </c>
    </row>
    <row r="87" spans="1:26" s="24" customFormat="1" hidden="1" outlineLevel="1" x14ac:dyDescent="0.3">
      <c r="A87" s="44"/>
      <c r="B87" s="11" t="str">
        <f>CONCATENATE("          ", "9150", " - ", "MISC. INCOME")</f>
        <v xml:space="preserve">          9150 - MISC. INCOME</v>
      </c>
      <c r="C87" s="11"/>
      <c r="D87" s="2">
        <f>--1241.41</f>
        <v>1241.4100000000001</v>
      </c>
      <c r="E87" s="2"/>
      <c r="F87" s="19">
        <f t="shared" si="58"/>
        <v>3.6153335855173712E-3</v>
      </c>
      <c r="G87" s="2"/>
      <c r="H87" s="2">
        <f>-138.8</f>
        <v>-138.80000000000001</v>
      </c>
      <c r="I87" s="2"/>
      <c r="J87" s="19">
        <f t="shared" si="59"/>
        <v>-2.8230252775473163E-4</v>
      </c>
      <c r="K87" s="2"/>
      <c r="L87" s="2">
        <f t="shared" si="60"/>
        <v>1380.21</v>
      </c>
      <c r="M87" s="2"/>
      <c r="N87" s="19">
        <f t="shared" si="61"/>
        <v>-9.9438760806916413</v>
      </c>
      <c r="O87" s="11"/>
      <c r="P87" s="2">
        <f>--1361.32</f>
        <v>1361.32</v>
      </c>
      <c r="Q87" s="2"/>
      <c r="R87" s="19">
        <f t="shared" si="62"/>
        <v>3.1032196667697565E-3</v>
      </c>
      <c r="S87" s="2"/>
      <c r="T87" s="2">
        <f>-534.15</f>
        <v>-534.15</v>
      </c>
      <c r="U87" s="2"/>
      <c r="V87" s="19">
        <f t="shared" si="63"/>
        <v>-7.6346604235540637E-4</v>
      </c>
      <c r="W87" s="2"/>
      <c r="X87" s="2">
        <f t="shared" si="64"/>
        <v>1895.4699999999998</v>
      </c>
      <c r="Y87" s="2"/>
      <c r="Z87" s="19">
        <f t="shared" si="65"/>
        <v>-3.5485724983618829</v>
      </c>
    </row>
    <row r="88" spans="1:26" x14ac:dyDescent="0.3">
      <c r="A88" s="9"/>
      <c r="B88" s="10"/>
      <c r="C88" s="10"/>
      <c r="D88" s="3"/>
      <c r="E88" s="3"/>
      <c r="F88" s="6"/>
      <c r="G88" s="3"/>
      <c r="H88" s="3"/>
      <c r="I88" s="3"/>
      <c r="J88" s="6"/>
      <c r="K88" s="3"/>
      <c r="L88" s="3"/>
      <c r="M88" s="3"/>
      <c r="N88" s="6"/>
      <c r="O88" s="10"/>
      <c r="P88" s="3"/>
      <c r="Q88" s="3"/>
      <c r="R88" s="6"/>
      <c r="S88" s="3"/>
      <c r="T88" s="3"/>
      <c r="U88" s="3"/>
      <c r="V88" s="6"/>
      <c r="W88" s="3"/>
      <c r="X88" s="3"/>
      <c r="Y88" s="3"/>
      <c r="Z88" s="6"/>
    </row>
    <row r="89" spans="1:26" s="23" customFormat="1" x14ac:dyDescent="0.3">
      <c r="A89" s="10"/>
      <c r="B89" s="25" t="s">
        <v>276</v>
      </c>
      <c r="C89" s="25"/>
      <c r="D89" s="20">
        <f>+D46-D48+D84</f>
        <v>39728.07</v>
      </c>
      <c r="E89" s="13"/>
      <c r="F89" s="22">
        <f>IF(D$12=0,0,D89/D$12)</f>
        <v>0.11569926596272392</v>
      </c>
      <c r="G89" s="13"/>
      <c r="H89" s="20">
        <f>+H46-H48+H84</f>
        <v>-2067.4899999999461</v>
      </c>
      <c r="I89" s="13"/>
      <c r="J89" s="22">
        <f>IF(H$12=0,0,H89/H$12)</f>
        <v>-4.2050263192191274E-3</v>
      </c>
      <c r="K89" s="15"/>
      <c r="L89" s="20">
        <f>+D89-H89</f>
        <v>41795.559999999947</v>
      </c>
      <c r="M89" s="15"/>
      <c r="N89" s="22">
        <f>IF(H89=0,0,L89/H89)</f>
        <v>-20.215604428558802</v>
      </c>
      <c r="O89" s="26"/>
      <c r="P89" s="20">
        <f>+P46-P48+P84</f>
        <v>35971.609999999957</v>
      </c>
      <c r="Q89" s="13"/>
      <c r="R89" s="22">
        <f>IF(P$12=0,0,P89/P$12)</f>
        <v>8.1999682365183429E-2</v>
      </c>
      <c r="S89" s="13"/>
      <c r="T89" s="20">
        <f>+T46-T48+T84</f>
        <v>9788.5600000001759</v>
      </c>
      <c r="U89" s="13"/>
      <c r="V89" s="22">
        <f>IF(T$12=0,0,T89/T$12)</f>
        <v>1.3990888633452346E-2</v>
      </c>
      <c r="W89" s="15"/>
      <c r="X89" s="20">
        <f>+P89-T89</f>
        <v>26183.049999999781</v>
      </c>
      <c r="Y89" s="15"/>
      <c r="Z89" s="22">
        <f>IF(T89=0,0,X89/T89)</f>
        <v>2.6748622882220991</v>
      </c>
    </row>
    <row r="90" spans="1:26" x14ac:dyDescent="0.3">
      <c r="A90" s="9"/>
      <c r="B90" s="10"/>
      <c r="C90" s="9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x14ac:dyDescent="0.3">
      <c r="A91" s="51"/>
      <c r="B91" s="10" t="s">
        <v>127</v>
      </c>
      <c r="C91" s="10"/>
      <c r="D91" s="4">
        <v>21522.15</v>
      </c>
      <c r="E91" s="4"/>
      <c r="F91" s="12">
        <f>IF(D$12=0,0,D91/D$12)</f>
        <v>6.2678528228017089E-2</v>
      </c>
      <c r="G91" s="4"/>
      <c r="H91" s="4">
        <v>17925.13</v>
      </c>
      <c r="I91" s="4"/>
      <c r="J91" s="12">
        <f>IF(H$12=0,0,H91/H$12)</f>
        <v>3.6457561306427758E-2</v>
      </c>
      <c r="K91" s="4"/>
      <c r="L91" s="4">
        <f>+D91-H91</f>
        <v>3597.0200000000004</v>
      </c>
      <c r="M91" s="4"/>
      <c r="N91" s="12">
        <f>IF(H91=0,0,L91/H91)</f>
        <v>0.20066911648618449</v>
      </c>
      <c r="O91" s="10"/>
      <c r="P91" s="4">
        <v>65553.27</v>
      </c>
      <c r="Q91" s="4"/>
      <c r="R91" s="12">
        <f>IF(P$12=0,0,P91/P$12)</f>
        <v>0.14943304783964675</v>
      </c>
      <c r="S91" s="4"/>
      <c r="T91" s="4">
        <v>118124.61</v>
      </c>
      <c r="U91" s="4"/>
      <c r="V91" s="12">
        <f>IF(T$12=0,0,T91/T$12)</f>
        <v>0.16883670972849549</v>
      </c>
      <c r="W91" s="4"/>
      <c r="X91" s="4">
        <f>+P91-T91</f>
        <v>-52571.34</v>
      </c>
      <c r="Y91" s="4"/>
      <c r="Z91" s="12">
        <f>IF(T91=0,0,X91/T91)</f>
        <v>-0.44504985032331534</v>
      </c>
    </row>
    <row r="92" spans="1:26" x14ac:dyDescent="0.3">
      <c r="A92" s="9"/>
      <c r="B92" s="10"/>
      <c r="C92" s="10"/>
      <c r="D92" s="3"/>
      <c r="E92" s="3"/>
      <c r="F92" s="6"/>
      <c r="G92" s="3"/>
      <c r="H92" s="3"/>
      <c r="I92" s="3"/>
      <c r="J92" s="6"/>
      <c r="K92" s="3"/>
      <c r="L92" s="3"/>
      <c r="M92" s="3"/>
      <c r="N92" s="6"/>
      <c r="O92" s="10"/>
      <c r="P92" s="3"/>
      <c r="Q92" s="3"/>
      <c r="R92" s="6"/>
      <c r="S92" s="3"/>
      <c r="T92" s="3"/>
      <c r="U92" s="3"/>
      <c r="V92" s="6"/>
      <c r="W92" s="3"/>
      <c r="X92" s="3"/>
      <c r="Y92" s="3"/>
      <c r="Z92" s="6"/>
    </row>
    <row r="93" spans="1:26" s="23" customFormat="1" ht="15" thickBot="1" x14ac:dyDescent="0.35">
      <c r="A93" s="10"/>
      <c r="B93" s="25" t="s">
        <v>125</v>
      </c>
      <c r="C93" s="25"/>
      <c r="D93" s="33">
        <f>+D89-D91</f>
        <v>18205.919999999998</v>
      </c>
      <c r="E93" s="13"/>
      <c r="F93" s="36">
        <f>IF(D$12=0,0,D93/D$12)</f>
        <v>5.3020737734706835E-2</v>
      </c>
      <c r="G93" s="13"/>
      <c r="H93" s="33">
        <f>+H89-H91</f>
        <v>-19992.619999999948</v>
      </c>
      <c r="I93" s="13"/>
      <c r="J93" s="36">
        <f>IF(H$12=0,0,H93/H$12)</f>
        <v>-4.0662587625646889E-2</v>
      </c>
      <c r="K93" s="15"/>
      <c r="L93" s="33">
        <f>D93-H93</f>
        <v>38198.53999999995</v>
      </c>
      <c r="M93" s="15"/>
      <c r="N93" s="36">
        <f>IF(H93=0,0,L93/H93)</f>
        <v>-1.9106320232165694</v>
      </c>
      <c r="O93" s="26"/>
      <c r="P93" s="33">
        <f>+P89-P91</f>
        <v>-29581.660000000047</v>
      </c>
      <c r="Q93" s="13"/>
      <c r="R93" s="36">
        <f>IF(P$12=0,0,P93/P$12)</f>
        <v>-6.7433365474463311E-2</v>
      </c>
      <c r="S93" s="13"/>
      <c r="T93" s="33">
        <f>+T89-T91</f>
        <v>-108336.04999999983</v>
      </c>
      <c r="U93" s="13"/>
      <c r="V93" s="36">
        <f>IF(T$12=0,0,T93/T$12)</f>
        <v>-0.15484582109504313</v>
      </c>
      <c r="W93" s="15"/>
      <c r="X93" s="33">
        <f>P93-T93</f>
        <v>78754.389999999781</v>
      </c>
      <c r="Y93" s="15"/>
      <c r="Z93" s="36">
        <f>IF(T93=0,0,X93/T93)</f>
        <v>-0.72694537044686336</v>
      </c>
    </row>
    <row r="94" spans="1:26" ht="15" thickTop="1" x14ac:dyDescent="0.3">
      <c r="A94" s="9"/>
      <c r="B94" s="9"/>
      <c r="C94" s="9"/>
      <c r="D94" s="3"/>
      <c r="E94" s="3"/>
      <c r="F94" s="6"/>
      <c r="G94" s="3"/>
      <c r="H94" s="3"/>
      <c r="I94" s="3"/>
      <c r="J94" s="6"/>
      <c r="K94" s="3"/>
      <c r="L94" s="3"/>
      <c r="M94" s="3"/>
      <c r="N94" s="6"/>
      <c r="P94" s="3"/>
      <c r="Q94" s="3"/>
      <c r="R94" s="6"/>
      <c r="S94" s="3"/>
      <c r="T94" s="3"/>
      <c r="U94" s="3"/>
      <c r="V94" s="6"/>
      <c r="W94" s="3"/>
      <c r="X94" s="3"/>
      <c r="Y94" s="3"/>
      <c r="Z94" s="6"/>
    </row>
    <row r="95" spans="1:26" x14ac:dyDescent="0.3">
      <c r="A95" s="9"/>
      <c r="B95" s="9"/>
      <c r="C95" s="9"/>
      <c r="D95" s="3"/>
      <c r="E95" s="3"/>
      <c r="F95" s="6"/>
      <c r="G95" s="3"/>
      <c r="H95" s="3"/>
      <c r="I95" s="3"/>
      <c r="J95" s="6"/>
      <c r="K95" s="3"/>
      <c r="L95" s="3"/>
      <c r="M95" s="3"/>
      <c r="N95" s="6"/>
      <c r="P95" s="3"/>
      <c r="Q95" s="3"/>
      <c r="R95" s="6"/>
      <c r="S95" s="3"/>
      <c r="T95" s="3"/>
      <c r="U95" s="3"/>
      <c r="V95" s="6"/>
      <c r="W95" s="3"/>
      <c r="X95" s="3"/>
      <c r="Y95" s="3"/>
      <c r="Z95" s="6"/>
    </row>
    <row r="96" spans="1:26" s="23" customFormat="1" ht="15" thickBot="1" x14ac:dyDescent="0.35">
      <c r="A96" s="10"/>
      <c r="B96" s="25" t="s">
        <v>293</v>
      </c>
      <c r="C96" s="25"/>
      <c r="D96" s="30">
        <f>SUM(D93:D95)</f>
        <v>18205.919999999998</v>
      </c>
      <c r="E96" s="13"/>
      <c r="F96" s="31">
        <f>IF(D$12=0,0,D96/D$12)</f>
        <v>5.3020737734706835E-2</v>
      </c>
      <c r="G96" s="13"/>
      <c r="H96" s="30">
        <f>SUM(H93:H95)</f>
        <v>-19992.619999999948</v>
      </c>
      <c r="I96" s="13"/>
      <c r="J96" s="31">
        <f>IF(H$12=0,0,H96/H$12)</f>
        <v>-4.0662587625646889E-2</v>
      </c>
      <c r="K96" s="15"/>
      <c r="L96" s="30">
        <f>+D96-H96</f>
        <v>38198.53999999995</v>
      </c>
      <c r="M96" s="15"/>
      <c r="N96" s="31">
        <f>IF(H96=0,0,L96/H96)</f>
        <v>-1.9106320232165694</v>
      </c>
      <c r="O96" s="26"/>
      <c r="P96" s="30">
        <f>SUM(P93:P95)</f>
        <v>-29581.660000000047</v>
      </c>
      <c r="Q96" s="13"/>
      <c r="R96" s="31">
        <f>IF(P$12=0,0,P96/P$12)</f>
        <v>-6.7433365474463311E-2</v>
      </c>
      <c r="S96" s="13"/>
      <c r="T96" s="30">
        <f>SUM(T93:T95)</f>
        <v>-108336.04999999983</v>
      </c>
      <c r="U96" s="13"/>
      <c r="V96" s="31">
        <f>IF(T$12=0,0,T96/T$12)</f>
        <v>-0.15484582109504313</v>
      </c>
      <c r="W96" s="15"/>
      <c r="X96" s="30">
        <f>+P96-T96</f>
        <v>78754.389999999781</v>
      </c>
      <c r="Y96" s="15"/>
      <c r="Z96" s="31">
        <f>IF(T96=0,0,X96/T96)</f>
        <v>-0.72694537044686336</v>
      </c>
    </row>
    <row r="97" spans="1:24" ht="15" thickTop="1" x14ac:dyDescent="0.3">
      <c r="A97" s="9"/>
      <c r="C97" s="9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3">
      <c r="A98" s="9"/>
      <c r="B98" s="59">
        <v>44470.840542939812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3">
      <c r="A99" s="9"/>
      <c r="B99" s="58" t="s">
        <v>56</v>
      </c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3">
      <c r="A100" s="9"/>
      <c r="B100" s="52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4" x14ac:dyDescent="0.3"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","320", " - ", "Customer Service (old)")</f>
        <v>Department 320 - Customer Service (old)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6" si="0">IF(D$12=0,0,D14/D$12)</f>
        <v>0</v>
      </c>
      <c r="G14" s="4"/>
      <c r="H14" s="4">
        <f>SUM(OSRRefH16x_0)</f>
        <v>0</v>
      </c>
      <c r="I14" s="4"/>
      <c r="J14" s="12">
        <f t="shared" ref="J14:J16" si="1">IF(H$12=0,0,H14/H$12)</f>
        <v>0</v>
      </c>
      <c r="K14" s="4"/>
      <c r="L14" s="4">
        <f t="shared" ref="L14:L16" si="2">+D14-H14</f>
        <v>0</v>
      </c>
      <c r="M14" s="4"/>
      <c r="N14" s="12">
        <f t="shared" ref="N14:N16" si="3">IF(H14=0,0,L14/H14)</f>
        <v>0</v>
      </c>
      <c r="O14" s="10"/>
      <c r="P14" s="4">
        <f>SUM(OSRRefP16x_0)</f>
        <v>0</v>
      </c>
      <c r="Q14" s="4"/>
      <c r="R14" s="12">
        <f t="shared" ref="R14:R16" si="4">IF(P$12=0,0,P14/P$12)</f>
        <v>0</v>
      </c>
      <c r="S14" s="4"/>
      <c r="T14" s="4">
        <f>SUM(OSRRefT16x_0)</f>
        <v>0</v>
      </c>
      <c r="U14" s="4"/>
      <c r="V14" s="12">
        <f t="shared" ref="V14:V16" si="5">IF(T$12=0,0,T14/T$12)</f>
        <v>0</v>
      </c>
      <c r="W14" s="4"/>
      <c r="X14" s="4">
        <f t="shared" ref="X14:X16" si="6">+P14-T14</f>
        <v>0</v>
      </c>
      <c r="Y14" s="4"/>
      <c r="Z14" s="12">
        <f t="shared" ref="Z14:Z16" si="7">IF(T14=0,0,X14/T14)</f>
        <v>0</v>
      </c>
    </row>
    <row r="15" spans="1:26" s="24" customFormat="1" hidden="1" outlineLevel="1" x14ac:dyDescent="0.3">
      <c r="A15" s="44"/>
      <c r="B15" s="11" t="str">
        <f>CONCATENATE("          ", "5092", " - ", "PURCHASES @ COST-GRAD MERCH")</f>
        <v xml:space="preserve">          5092 - PURCHASES @ COST-GRAD MERCH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0</v>
      </c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s="24" customFormat="1" hidden="1" outlineLevel="1" x14ac:dyDescent="0.3">
      <c r="A16" s="44"/>
      <c r="B16" s="11" t="str">
        <f>CONCATENATE("          ", "5592", " - ", "FREIGHT-IN-GRAD MERCH")</f>
        <v xml:space="preserve">          5592 - FREIGHT-IN-GRAD MERCH</v>
      </c>
      <c r="C16" s="11"/>
      <c r="D16" s="2"/>
      <c r="E16" s="2"/>
      <c r="F16" s="19">
        <f t="shared" si="0"/>
        <v>0</v>
      </c>
      <c r="G16" s="2"/>
      <c r="H16" s="2"/>
      <c r="I16" s="2"/>
      <c r="J16" s="19">
        <f t="shared" si="1"/>
        <v>0</v>
      </c>
      <c r="K16" s="2"/>
      <c r="L16" s="2">
        <f t="shared" si="2"/>
        <v>0</v>
      </c>
      <c r="M16" s="2"/>
      <c r="N16" s="19">
        <f t="shared" si="3"/>
        <v>0</v>
      </c>
      <c r="O16" s="11"/>
      <c r="P16" s="2"/>
      <c r="Q16" s="2"/>
      <c r="R16" s="19">
        <f t="shared" si="4"/>
        <v>0</v>
      </c>
      <c r="S16" s="2"/>
      <c r="T16" s="2">
        <v>0</v>
      </c>
      <c r="U16" s="2"/>
      <c r="V16" s="19">
        <f t="shared" si="5"/>
        <v>0</v>
      </c>
      <c r="W16" s="2"/>
      <c r="X16" s="2">
        <f t="shared" si="6"/>
        <v>0</v>
      </c>
      <c r="Y16" s="2"/>
      <c r="Z16" s="19">
        <f t="shared" si="7"/>
        <v>0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>
        <f>D12-D14</f>
        <v>0</v>
      </c>
      <c r="E18" s="13"/>
      <c r="F18" s="22">
        <f>IF(D$12=0,0,D18/D$12)</f>
        <v>0</v>
      </c>
      <c r="G18" s="13"/>
      <c r="H18" s="20">
        <f>H12-H14</f>
        <v>0</v>
      </c>
      <c r="I18" s="13"/>
      <c r="J18" s="22">
        <f>IF(H$12=0,0,H18/H$12)</f>
        <v>0</v>
      </c>
      <c r="K18" s="15"/>
      <c r="L18" s="20">
        <f>+D18-H18</f>
        <v>0</v>
      </c>
      <c r="M18" s="15"/>
      <c r="N18" s="22">
        <f>IF(H18=0,0,L18/H18)</f>
        <v>0</v>
      </c>
      <c r="O18" s="26"/>
      <c r="P18" s="20">
        <f>P12-P14</f>
        <v>0</v>
      </c>
      <c r="Q18" s="13"/>
      <c r="R18" s="22">
        <f>IF(P$12=0,0,P18/P$12)</f>
        <v>0</v>
      </c>
      <c r="S18" s="13"/>
      <c r="T18" s="20">
        <f>T12-T14</f>
        <v>0</v>
      </c>
      <c r="U18" s="13"/>
      <c r="V18" s="22">
        <f>IF(T$12=0,0,T18/T$12)</f>
        <v>0</v>
      </c>
      <c r="W18" s="15"/>
      <c r="X18" s="20">
        <f>+P18-T18</f>
        <v>0</v>
      </c>
      <c r="Y18" s="15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>
        <f>SUM(OSRRefD22x_0)</f>
        <v>0</v>
      </c>
      <c r="E20" s="21"/>
      <c r="F20" s="32">
        <f t="shared" ref="F20:F23" si="8">IF(D$12=0,0,D20/D$12)</f>
        <v>0</v>
      </c>
      <c r="G20" s="21"/>
      <c r="H20" s="21">
        <f>SUM(OSRRefH22x_0)</f>
        <v>0</v>
      </c>
      <c r="I20" s="21"/>
      <c r="J20" s="32">
        <f t="shared" ref="J20:J23" si="9">IF(H$12=0,0,H20/H$12)</f>
        <v>0</v>
      </c>
      <c r="K20" s="4"/>
      <c r="L20" s="21">
        <f t="shared" ref="L20:L23" si="10">+D20-H20</f>
        <v>0</v>
      </c>
      <c r="M20" s="4"/>
      <c r="N20" s="32">
        <f t="shared" ref="N20:N23" si="11">IF(H20=0,0,L20/H20)</f>
        <v>0</v>
      </c>
      <c r="O20" s="10"/>
      <c r="P20" s="21">
        <f>SUM(OSRRefP22x_0)</f>
        <v>0</v>
      </c>
      <c r="Q20" s="21"/>
      <c r="R20" s="32">
        <f t="shared" ref="R20:R23" si="12">IF(P$12=0,0,P20/P$12)</f>
        <v>0</v>
      </c>
      <c r="S20" s="21"/>
      <c r="T20" s="21">
        <f>SUM(OSRRefT22x_0)</f>
        <v>0</v>
      </c>
      <c r="U20" s="21"/>
      <c r="V20" s="32">
        <f t="shared" ref="V20:V23" si="13">IF(T$12=0,0,T20/T$12)</f>
        <v>0</v>
      </c>
      <c r="W20" s="4"/>
      <c r="X20" s="21">
        <f t="shared" ref="X20:X23" si="14">+P20-T20</f>
        <v>0</v>
      </c>
      <c r="Y20" s="4"/>
      <c r="Z20" s="32">
        <f t="shared" ref="Z20:Z23" si="15">IF(T20=0,0,X20/T20)</f>
        <v>0</v>
      </c>
    </row>
    <row r="21" spans="1:26" s="28" customFormat="1" outlineLevel="1" collapsed="1" x14ac:dyDescent="0.3">
      <c r="A21" s="29"/>
      <c r="B21" s="14" t="str">
        <f>CONCATENATE("     ","Freight out/Postage                               ")</f>
        <v xml:space="preserve">     Freight out/Postage                               </v>
      </c>
      <c r="C21" s="14"/>
      <c r="D21" s="1">
        <f>SUM(OSRRefD22_0x_0)</f>
        <v>0</v>
      </c>
      <c r="E21" s="1"/>
      <c r="F21" s="5">
        <f t="shared" si="8"/>
        <v>0</v>
      </c>
      <c r="G21" s="1"/>
      <c r="H21" s="1">
        <f>SUM(OSRRefH22_0x_0)</f>
        <v>0</v>
      </c>
      <c r="I21" s="1"/>
      <c r="J21" s="5">
        <f t="shared" si="9"/>
        <v>0</v>
      </c>
      <c r="K21" s="1"/>
      <c r="L21" s="1">
        <f t="shared" si="10"/>
        <v>0</v>
      </c>
      <c r="M21" s="1"/>
      <c r="N21" s="5">
        <f t="shared" si="11"/>
        <v>0</v>
      </c>
      <c r="O21" s="14"/>
      <c r="P21" s="1">
        <f>SUM(OSRRefP22_0x_0)</f>
        <v>0</v>
      </c>
      <c r="Q21" s="1"/>
      <c r="R21" s="5">
        <f t="shared" si="12"/>
        <v>0</v>
      </c>
      <c r="S21" s="1"/>
      <c r="T21" s="1">
        <f>SUM(OSRRefT22_0x_0)</f>
        <v>0</v>
      </c>
      <c r="U21" s="1"/>
      <c r="V21" s="5">
        <f t="shared" si="13"/>
        <v>0</v>
      </c>
      <c r="W21" s="1"/>
      <c r="X21" s="1">
        <f t="shared" si="14"/>
        <v>0</v>
      </c>
      <c r="Y21" s="1"/>
      <c r="Z21" s="5">
        <f t="shared" si="15"/>
        <v>0</v>
      </c>
    </row>
    <row r="22" spans="1:26" s="24" customFormat="1" hidden="1" outlineLevel="2" x14ac:dyDescent="0.3">
      <c r="A22" s="27"/>
      <c r="B22" s="11" t="str">
        <f>CONCATENATE("          ", "6305", " - ", "FREIGHT OUT")</f>
        <v xml:space="preserve">          6305 - FREIGHT OUT</v>
      </c>
      <c r="C22" s="11"/>
      <c r="D22" s="7"/>
      <c r="E22" s="2"/>
      <c r="F22" s="8">
        <f t="shared" si="8"/>
        <v>0</v>
      </c>
      <c r="G22" s="2"/>
      <c r="H22" s="7"/>
      <c r="I22" s="2"/>
      <c r="J22" s="8">
        <f t="shared" si="9"/>
        <v>0</v>
      </c>
      <c r="K22" s="2"/>
      <c r="L22" s="7">
        <f t="shared" si="10"/>
        <v>0</v>
      </c>
      <c r="M22" s="2"/>
      <c r="N22" s="8">
        <f t="shared" si="11"/>
        <v>0</v>
      </c>
      <c r="O22" s="11"/>
      <c r="P22" s="7"/>
      <c r="Q22" s="2"/>
      <c r="R22" s="8">
        <f t="shared" si="12"/>
        <v>0</v>
      </c>
      <c r="S22" s="2"/>
      <c r="T22" s="7">
        <v>0</v>
      </c>
      <c r="U22" s="2"/>
      <c r="V22" s="8">
        <f t="shared" si="13"/>
        <v>0</v>
      </c>
      <c r="W22" s="2"/>
      <c r="X22" s="7">
        <f t="shared" si="14"/>
        <v>0</v>
      </c>
      <c r="Y22" s="2"/>
      <c r="Z22" s="8">
        <f t="shared" si="15"/>
        <v>0</v>
      </c>
    </row>
    <row r="23" spans="1:26" s="24" customFormat="1" hidden="1" outlineLevel="2" x14ac:dyDescent="0.3">
      <c r="A23" s="27"/>
      <c r="B23" s="11" t="str">
        <f>CONCATENATE("          ", "6307", " - ", "POSTAGE")</f>
        <v xml:space="preserve">          6307 - POSTAGE</v>
      </c>
      <c r="C23" s="11"/>
      <c r="D23" s="7"/>
      <c r="E23" s="2"/>
      <c r="F23" s="8">
        <f t="shared" si="8"/>
        <v>0</v>
      </c>
      <c r="G23" s="2"/>
      <c r="H23" s="7">
        <v>0</v>
      </c>
      <c r="I23" s="2"/>
      <c r="J23" s="8">
        <f t="shared" si="9"/>
        <v>0</v>
      </c>
      <c r="K23" s="2"/>
      <c r="L23" s="7">
        <f t="shared" si="10"/>
        <v>0</v>
      </c>
      <c r="M23" s="2"/>
      <c r="N23" s="8">
        <f t="shared" si="11"/>
        <v>0</v>
      </c>
      <c r="O23" s="11"/>
      <c r="P23" s="7"/>
      <c r="Q23" s="2"/>
      <c r="R23" s="8">
        <f t="shared" si="12"/>
        <v>0</v>
      </c>
      <c r="S23" s="2"/>
      <c r="T23" s="7">
        <v>0</v>
      </c>
      <c r="U23" s="2"/>
      <c r="V23" s="8">
        <f t="shared" si="13"/>
        <v>0</v>
      </c>
      <c r="W23" s="2"/>
      <c r="X23" s="7">
        <f t="shared" si="14"/>
        <v>0</v>
      </c>
      <c r="Y23" s="2"/>
      <c r="Z23" s="8">
        <f t="shared" si="15"/>
        <v>0</v>
      </c>
    </row>
    <row r="24" spans="1:26" s="28" customFormat="1" outlineLevel="1" collapsed="1" x14ac:dyDescent="0.3">
      <c r="A24" s="29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SUM(OSRRefD22_1x_0)</f>
        <v>0</v>
      </c>
      <c r="E24" s="1"/>
      <c r="F24" s="5">
        <f t="shared" ref="F24:F27" si="16">IF(D$12=0,0,D24/D$12)</f>
        <v>0</v>
      </c>
      <c r="G24" s="1"/>
      <c r="H24" s="1">
        <f>SUM(OSRRefH22_1x_0)</f>
        <v>0</v>
      </c>
      <c r="I24" s="1"/>
      <c r="J24" s="5">
        <f t="shared" ref="J24:J27" si="17">IF(H$12=0,0,H24/H$12)</f>
        <v>0</v>
      </c>
      <c r="K24" s="1"/>
      <c r="L24" s="1">
        <f t="shared" ref="L24:L27" si="18">+D24-H24</f>
        <v>0</v>
      </c>
      <c r="M24" s="1"/>
      <c r="N24" s="5">
        <f t="shared" ref="N24:N27" si="19">IF(H24=0,0,L24/H24)</f>
        <v>0</v>
      </c>
      <c r="O24" s="14"/>
      <c r="P24" s="1">
        <f>SUM(OSRRefP22_1x_0)</f>
        <v>0</v>
      </c>
      <c r="Q24" s="1"/>
      <c r="R24" s="5">
        <f t="shared" ref="R24:R27" si="20">IF(P$12=0,0,P24/P$12)</f>
        <v>0</v>
      </c>
      <c r="S24" s="1"/>
      <c r="T24" s="1">
        <f>SUM(OSRRefT22_1x_0)</f>
        <v>0</v>
      </c>
      <c r="U24" s="1"/>
      <c r="V24" s="5">
        <f t="shared" ref="V24:V27" si="21">IF(T$12=0,0,T24/T$12)</f>
        <v>0</v>
      </c>
      <c r="W24" s="1"/>
      <c r="X24" s="1">
        <f t="shared" ref="X24:X27" si="22">+P24-T24</f>
        <v>0</v>
      </c>
      <c r="Y24" s="1"/>
      <c r="Z24" s="5">
        <f t="shared" ref="Z24:Z27" si="23">IF(T24=0,0,X24/T24)</f>
        <v>0</v>
      </c>
    </row>
    <row r="25" spans="1:26" s="24" customFormat="1" hidden="1" outlineLevel="2" x14ac:dyDescent="0.3">
      <c r="A25" s="27"/>
      <c r="B25" s="11" t="str">
        <f>CONCATENATE("          ", "6247", " - ", "STORE SUPPLIES")</f>
        <v xml:space="preserve">          6247 - STORE SUPPLIES</v>
      </c>
      <c r="C25" s="11"/>
      <c r="D25" s="7"/>
      <c r="E25" s="2"/>
      <c r="F25" s="8">
        <f t="shared" si="16"/>
        <v>0</v>
      </c>
      <c r="G25" s="2"/>
      <c r="H25" s="7"/>
      <c r="I25" s="2"/>
      <c r="J25" s="8">
        <f t="shared" si="17"/>
        <v>0</v>
      </c>
      <c r="K25" s="2"/>
      <c r="L25" s="7">
        <f t="shared" si="18"/>
        <v>0</v>
      </c>
      <c r="M25" s="2"/>
      <c r="N25" s="8">
        <f t="shared" si="19"/>
        <v>0</v>
      </c>
      <c r="O25" s="11"/>
      <c r="P25" s="7"/>
      <c r="Q25" s="2"/>
      <c r="R25" s="8">
        <f t="shared" si="20"/>
        <v>0</v>
      </c>
      <c r="S25" s="2"/>
      <c r="T25" s="7">
        <v>0</v>
      </c>
      <c r="U25" s="2"/>
      <c r="V25" s="8">
        <f t="shared" si="21"/>
        <v>0</v>
      </c>
      <c r="W25" s="2"/>
      <c r="X25" s="7">
        <f t="shared" si="22"/>
        <v>0</v>
      </c>
      <c r="Y25" s="2"/>
      <c r="Z25" s="8">
        <f t="shared" si="23"/>
        <v>0</v>
      </c>
    </row>
    <row r="26" spans="1:26" s="28" customFormat="1" outlineLevel="1" collapsed="1" x14ac:dyDescent="0.3">
      <c r="A26" s="29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SUM(OSRRefD22_2x_0)</f>
        <v>0</v>
      </c>
      <c r="E26" s="1"/>
      <c r="F26" s="5">
        <f t="shared" si="16"/>
        <v>0</v>
      </c>
      <c r="G26" s="1"/>
      <c r="H26" s="1">
        <f>SUM(OSRRefH22_2x_0)</f>
        <v>0</v>
      </c>
      <c r="I26" s="1"/>
      <c r="J26" s="5">
        <f t="shared" si="17"/>
        <v>0</v>
      </c>
      <c r="K26" s="1"/>
      <c r="L26" s="1">
        <f t="shared" si="18"/>
        <v>0</v>
      </c>
      <c r="M26" s="1"/>
      <c r="N26" s="5">
        <f t="shared" si="19"/>
        <v>0</v>
      </c>
      <c r="O26" s="14"/>
      <c r="P26" s="1">
        <f>SUM(OSRRefP22_2x_0)</f>
        <v>0</v>
      </c>
      <c r="Q26" s="1"/>
      <c r="R26" s="5">
        <f t="shared" si="20"/>
        <v>0</v>
      </c>
      <c r="S26" s="1"/>
      <c r="T26" s="1">
        <f>SUM(OSRRefT22_2x_0)</f>
        <v>0</v>
      </c>
      <c r="U26" s="1"/>
      <c r="V26" s="5">
        <f t="shared" si="21"/>
        <v>0</v>
      </c>
      <c r="W26" s="1"/>
      <c r="X26" s="1">
        <f t="shared" si="22"/>
        <v>0</v>
      </c>
      <c r="Y26" s="1"/>
      <c r="Z26" s="5">
        <f t="shared" si="23"/>
        <v>0</v>
      </c>
    </row>
    <row r="27" spans="1:26" s="24" customFormat="1" hidden="1" outlineLevel="2" x14ac:dyDescent="0.3">
      <c r="A27" s="27"/>
      <c r="B27" s="11" t="str">
        <f>CONCATENATE("          ", "6309", " - ", "TELEPHONE")</f>
        <v xml:space="preserve">          6309 - TELEPHONE</v>
      </c>
      <c r="C27" s="11"/>
      <c r="D27" s="7"/>
      <c r="E27" s="2"/>
      <c r="F27" s="8">
        <f t="shared" si="16"/>
        <v>0</v>
      </c>
      <c r="G27" s="2"/>
      <c r="H27" s="7"/>
      <c r="I27" s="2"/>
      <c r="J27" s="8">
        <f t="shared" si="17"/>
        <v>0</v>
      </c>
      <c r="K27" s="2"/>
      <c r="L27" s="7">
        <f t="shared" si="18"/>
        <v>0</v>
      </c>
      <c r="M27" s="2"/>
      <c r="N27" s="8">
        <f t="shared" si="19"/>
        <v>0</v>
      </c>
      <c r="O27" s="11"/>
      <c r="P27" s="7"/>
      <c r="Q27" s="2"/>
      <c r="R27" s="8">
        <f t="shared" si="20"/>
        <v>0</v>
      </c>
      <c r="S27" s="2"/>
      <c r="T27" s="7">
        <v>0</v>
      </c>
      <c r="U27" s="2"/>
      <c r="V27" s="8">
        <f t="shared" si="21"/>
        <v>0</v>
      </c>
      <c r="W27" s="2"/>
      <c r="X27" s="7">
        <f t="shared" si="22"/>
        <v>0</v>
      </c>
      <c r="Y27" s="2"/>
      <c r="Z27" s="8">
        <f t="shared" si="23"/>
        <v>0</v>
      </c>
    </row>
    <row r="28" spans="1:26" s="61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3">
      <c r="A29" s="10"/>
      <c r="B29" s="26" t="s">
        <v>292</v>
      </c>
      <c r="C29" s="10"/>
      <c r="D29" s="4">
        <f>SUM(OSRRefD25x_0)</f>
        <v>0</v>
      </c>
      <c r="E29" s="4"/>
      <c r="F29" s="12">
        <f t="shared" ref="F29:F30" si="24">IF(D$12=0,0,D29/D$12)</f>
        <v>0</v>
      </c>
      <c r="G29" s="4"/>
      <c r="H29" s="4">
        <f>SUM(OSRRefH25x_0)</f>
        <v>0</v>
      </c>
      <c r="I29" s="4"/>
      <c r="J29" s="12">
        <f t="shared" ref="J29:J30" si="25">IF(H$12=0,0,H29/H$12)</f>
        <v>0</v>
      </c>
      <c r="K29" s="4"/>
      <c r="L29" s="4">
        <f t="shared" ref="L29:L30" si="26">+D29-H29</f>
        <v>0</v>
      </c>
      <c r="M29" s="4"/>
      <c r="N29" s="12">
        <f t="shared" ref="N29:N30" si="27">IF(H29=0,0,L29/H29)</f>
        <v>0</v>
      </c>
      <c r="O29" s="10"/>
      <c r="P29" s="4">
        <f>SUM(OSRRefP25x_0)</f>
        <v>0</v>
      </c>
      <c r="Q29" s="4"/>
      <c r="R29" s="12">
        <f t="shared" ref="R29:R30" si="28">IF(P$12=0,0,P29/P$12)</f>
        <v>0</v>
      </c>
      <c r="S29" s="4"/>
      <c r="T29" s="4">
        <f>SUM(OSRRefT25x_0)</f>
        <v>0</v>
      </c>
      <c r="U29" s="4"/>
      <c r="V29" s="12">
        <f t="shared" ref="V29:V30" si="29">IF(T$12=0,0,T29/T$12)</f>
        <v>0</v>
      </c>
      <c r="W29" s="4"/>
      <c r="X29" s="4">
        <f t="shared" ref="X29:X30" si="30">+P29-T29</f>
        <v>0</v>
      </c>
      <c r="Y29" s="4"/>
      <c r="Z29" s="12">
        <f t="shared" ref="Z29:Z30" si="31">IF(T29=0,0,X29/T29)</f>
        <v>0</v>
      </c>
    </row>
    <row r="30" spans="1:26" s="24" customFormat="1" hidden="1" outlineLevel="1" x14ac:dyDescent="0.3">
      <c r="A30" s="44"/>
      <c r="B30" s="11" t="str">
        <f>CONCATENATE("          ", "9163", " - ", "MISC. INCOME")</f>
        <v xml:space="preserve">          9163 - MISC. INCOME</v>
      </c>
      <c r="C30" s="11"/>
      <c r="D30" s="2">
        <f>0</f>
        <v>0</v>
      </c>
      <c r="E30" s="2"/>
      <c r="F30" s="19">
        <f t="shared" si="24"/>
        <v>0</v>
      </c>
      <c r="G30" s="2"/>
      <c r="H30" s="2">
        <f>0</f>
        <v>0</v>
      </c>
      <c r="I30" s="2"/>
      <c r="J30" s="19">
        <f t="shared" si="25"/>
        <v>0</v>
      </c>
      <c r="K30" s="2"/>
      <c r="L30" s="2">
        <f t="shared" si="26"/>
        <v>0</v>
      </c>
      <c r="M30" s="2"/>
      <c r="N30" s="19">
        <f t="shared" si="27"/>
        <v>0</v>
      </c>
      <c r="O30" s="11"/>
      <c r="P30" s="2">
        <f>0</f>
        <v>0</v>
      </c>
      <c r="Q30" s="2"/>
      <c r="R30" s="19">
        <f t="shared" si="28"/>
        <v>0</v>
      </c>
      <c r="S30" s="2"/>
      <c r="T30" s="2">
        <f>0</f>
        <v>0</v>
      </c>
      <c r="U30" s="2"/>
      <c r="V30" s="19">
        <f t="shared" si="29"/>
        <v>0</v>
      </c>
      <c r="W30" s="2"/>
      <c r="X30" s="2">
        <f t="shared" si="30"/>
        <v>0</v>
      </c>
      <c r="Y30" s="2"/>
      <c r="Z30" s="19">
        <f t="shared" si="31"/>
        <v>0</v>
      </c>
    </row>
    <row r="31" spans="1:26" x14ac:dyDescent="0.3">
      <c r="A31" s="9"/>
      <c r="B31" s="10"/>
      <c r="C31" s="10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O31" s="10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10"/>
      <c r="B32" s="25" t="s">
        <v>276</v>
      </c>
      <c r="C32" s="25"/>
      <c r="D32" s="20">
        <f>+D18-D20+D29</f>
        <v>0</v>
      </c>
      <c r="E32" s="13"/>
      <c r="F32" s="22">
        <f>IF(D$12=0,0,D32/D$12)</f>
        <v>0</v>
      </c>
      <c r="G32" s="13"/>
      <c r="H32" s="20">
        <f>+H18-H20+H29</f>
        <v>0</v>
      </c>
      <c r="I32" s="13"/>
      <c r="J32" s="22">
        <f>IF(H$12=0,0,H32/H$12)</f>
        <v>0</v>
      </c>
      <c r="K32" s="15"/>
      <c r="L32" s="20">
        <f>+D32-H32</f>
        <v>0</v>
      </c>
      <c r="M32" s="15"/>
      <c r="N32" s="22">
        <f>IF(H32=0,0,L32/H32)</f>
        <v>0</v>
      </c>
      <c r="O32" s="26"/>
      <c r="P32" s="20">
        <f>+P18-P20+P29</f>
        <v>0</v>
      </c>
      <c r="Q32" s="13"/>
      <c r="R32" s="22">
        <f>IF(P$12=0,0,P32/P$12)</f>
        <v>0</v>
      </c>
      <c r="S32" s="13"/>
      <c r="T32" s="20">
        <f>+T18-T20+T29</f>
        <v>0</v>
      </c>
      <c r="U32" s="13"/>
      <c r="V32" s="22">
        <f>IF(T$12=0,0,T32/T$12)</f>
        <v>0</v>
      </c>
      <c r="W32" s="15"/>
      <c r="X32" s="20">
        <f>+P32-T32</f>
        <v>0</v>
      </c>
      <c r="Y32" s="15"/>
      <c r="Z32" s="22">
        <f>IF(T32=0,0,X32/T32)</f>
        <v>0</v>
      </c>
    </row>
    <row r="33" spans="1:26" x14ac:dyDescent="0.3">
      <c r="A33" s="9"/>
      <c r="B33" s="10"/>
      <c r="C33" s="9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O35" s="10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125</v>
      </c>
      <c r="C36" s="25"/>
      <c r="D36" s="33">
        <f>+D32-D34</f>
        <v>0</v>
      </c>
      <c r="E36" s="13"/>
      <c r="F36" s="36">
        <f>IF(D$12=0,0,D36/D$12)</f>
        <v>0</v>
      </c>
      <c r="G36" s="13"/>
      <c r="H36" s="33">
        <f>+H32-H34</f>
        <v>0</v>
      </c>
      <c r="I36" s="13"/>
      <c r="J36" s="36">
        <f>IF(H$12=0,0,H36/H$12)</f>
        <v>0</v>
      </c>
      <c r="K36" s="15"/>
      <c r="L36" s="33">
        <f>D36-H36</f>
        <v>0</v>
      </c>
      <c r="M36" s="15"/>
      <c r="N36" s="36">
        <f>IF(H36=0,0,L36/H36)</f>
        <v>0</v>
      </c>
      <c r="O36" s="26"/>
      <c r="P36" s="33">
        <f>+P32-P34</f>
        <v>0</v>
      </c>
      <c r="Q36" s="13"/>
      <c r="R36" s="36">
        <f>IF(P$12=0,0,P36/P$12)</f>
        <v>0</v>
      </c>
      <c r="S36" s="13"/>
      <c r="T36" s="33">
        <f>+T32-T34</f>
        <v>0</v>
      </c>
      <c r="U36" s="13"/>
      <c r="V36" s="36">
        <f>IF(T$12=0,0,T36/T$12)</f>
        <v>0</v>
      </c>
      <c r="W36" s="15"/>
      <c r="X36" s="33">
        <f>P36-T36</f>
        <v>0</v>
      </c>
      <c r="Y36" s="15"/>
      <c r="Z36" s="36">
        <f>IF(T36=0,0,X36/T36)</f>
        <v>0</v>
      </c>
    </row>
    <row r="37" spans="1:26" ht="15" thickTop="1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x14ac:dyDescent="0.3">
      <c r="A38" s="9"/>
      <c r="B38" s="9"/>
      <c r="C38" s="9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ht="15" thickBot="1" x14ac:dyDescent="0.35">
      <c r="A39" s="10"/>
      <c r="B39" s="25" t="s">
        <v>293</v>
      </c>
      <c r="C39" s="25"/>
      <c r="D39" s="30">
        <f>SUM(D36:D38)</f>
        <v>0</v>
      </c>
      <c r="E39" s="13"/>
      <c r="F39" s="31">
        <f>IF(D$12=0,0,D39/D$12)</f>
        <v>0</v>
      </c>
      <c r="G39" s="13"/>
      <c r="H39" s="30">
        <f>SUM(H36:H38)</f>
        <v>0</v>
      </c>
      <c r="I39" s="13"/>
      <c r="J39" s="31">
        <f>IF(H$12=0,0,H39/H$12)</f>
        <v>0</v>
      </c>
      <c r="K39" s="15"/>
      <c r="L39" s="30">
        <f>+D39-H39</f>
        <v>0</v>
      </c>
      <c r="M39" s="15"/>
      <c r="N39" s="31">
        <f>IF(H39=0,0,L39/H39)</f>
        <v>0</v>
      </c>
      <c r="O39" s="26"/>
      <c r="P39" s="30">
        <f>SUM(P36:P38)</f>
        <v>0</v>
      </c>
      <c r="Q39" s="13"/>
      <c r="R39" s="31">
        <f>IF(P$12=0,0,P39/P$12)</f>
        <v>0</v>
      </c>
      <c r="S39" s="13"/>
      <c r="T39" s="30">
        <f>SUM(T36:T38)</f>
        <v>0</v>
      </c>
      <c r="U39" s="13"/>
      <c r="V39" s="31">
        <f>IF(T$12=0,0,T39/T$12)</f>
        <v>0</v>
      </c>
      <c r="W39" s="15"/>
      <c r="X39" s="30">
        <f>+P39-T39</f>
        <v>0</v>
      </c>
      <c r="Y39" s="15"/>
      <c r="Z39" s="31">
        <f>IF(T39=0,0,X39/T39)</f>
        <v>0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>
        <v>44470.840542939812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8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2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9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6665.14</v>
      </c>
      <c r="E12" s="4"/>
      <c r="F12" s="12"/>
      <c r="G12" s="4"/>
      <c r="H12" s="4">
        <f>SUM(OSRRefH13x_0)</f>
        <v>824</v>
      </c>
      <c r="I12" s="4"/>
      <c r="J12" s="12"/>
      <c r="K12" s="4"/>
      <c r="L12" s="4">
        <f t="shared" ref="L12:L20" si="0">+D12-H12</f>
        <v>5841.14</v>
      </c>
      <c r="M12" s="4"/>
      <c r="N12" s="12">
        <f t="shared" ref="N12:N20" si="1">IF(H12=0,0,L12/H12)</f>
        <v>7.0887621359223303</v>
      </c>
      <c r="O12" s="10"/>
      <c r="P12" s="4">
        <f>SUM(OSRRefP13x_0)</f>
        <v>6665.14</v>
      </c>
      <c r="Q12" s="4"/>
      <c r="R12" s="12"/>
      <c r="S12" s="4"/>
      <c r="T12" s="4">
        <f>SUM(OSRRefT13x_0)</f>
        <v>824</v>
      </c>
      <c r="U12" s="4"/>
      <c r="V12" s="12"/>
      <c r="W12" s="4"/>
      <c r="X12" s="4">
        <f t="shared" ref="X12:X20" si="2">+P12-T12</f>
        <v>5841.14</v>
      </c>
      <c r="Y12" s="4"/>
      <c r="Z12" s="12">
        <f t="shared" ref="Z12:Z20" si="3">IF(T12=0,0,X12/T12)</f>
        <v>7.0887621359223303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1234.92</v>
      </c>
      <c r="M13" s="2"/>
      <c r="N13" s="19">
        <f t="shared" si="1"/>
        <v>0</v>
      </c>
      <c r="O13" s="11"/>
      <c r="P13" s="2">
        <f>--1234.92</f>
        <v>1234.92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1234.92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4">0</f>
        <v>0</v>
      </c>
      <c r="E14" s="2"/>
      <c r="F14" s="19"/>
      <c r="G14" s="2"/>
      <c r="H14" s="2">
        <f>--88.2</f>
        <v>88.2</v>
      </c>
      <c r="I14" s="2"/>
      <c r="J14" s="19"/>
      <c r="K14" s="2"/>
      <c r="L14" s="2">
        <f t="shared" si="0"/>
        <v>-88.2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--88.2</f>
        <v>88.2</v>
      </c>
      <c r="U14" s="2"/>
      <c r="V14" s="19"/>
      <c r="W14" s="2"/>
      <c r="X14" s="2">
        <f t="shared" si="2"/>
        <v>-88.2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 t="shared" ref="H15:H16" si="6"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 t="shared" ref="T15:T16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--5299.87</f>
        <v>5299.87</v>
      </c>
      <c r="E16" s="2"/>
      <c r="F16" s="19"/>
      <c r="G16" s="2"/>
      <c r="H16" s="2">
        <f t="shared" si="6"/>
        <v>0</v>
      </c>
      <c r="I16" s="2"/>
      <c r="J16" s="19"/>
      <c r="K16" s="2"/>
      <c r="L16" s="2">
        <f t="shared" si="0"/>
        <v>5299.87</v>
      </c>
      <c r="M16" s="2"/>
      <c r="N16" s="19">
        <f t="shared" si="1"/>
        <v>0</v>
      </c>
      <c r="O16" s="11"/>
      <c r="P16" s="2">
        <f>--5299.87</f>
        <v>5299.87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5299.87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"4132", " - ", "NON-TAXABLE SALES-JUICE")</f>
        <v xml:space="preserve">          4132 - NON-TAXABLE SALES-JUICE</v>
      </c>
      <c r="C17" s="11"/>
      <c r="D17" s="2">
        <f t="shared" ref="D17:D19" si="8">0</f>
        <v>0</v>
      </c>
      <c r="E17" s="2"/>
      <c r="F17" s="19"/>
      <c r="G17" s="2"/>
      <c r="H17" s="2">
        <f>--625.8</f>
        <v>625.79999999999995</v>
      </c>
      <c r="I17" s="2"/>
      <c r="J17" s="19"/>
      <c r="K17" s="2"/>
      <c r="L17" s="2">
        <f t="shared" si="0"/>
        <v>-625.79999999999995</v>
      </c>
      <c r="M17" s="2"/>
      <c r="N17" s="19">
        <f t="shared" si="1"/>
        <v>-1</v>
      </c>
      <c r="O17" s="11"/>
      <c r="P17" s="2">
        <f t="shared" ref="P17:P19" si="9">0</f>
        <v>0</v>
      </c>
      <c r="Q17" s="2"/>
      <c r="R17" s="19"/>
      <c r="S17" s="2"/>
      <c r="T17" s="2">
        <f>--625.8</f>
        <v>625.79999999999995</v>
      </c>
      <c r="U17" s="2"/>
      <c r="V17" s="19"/>
      <c r="W17" s="2"/>
      <c r="X17" s="2">
        <f t="shared" si="2"/>
        <v>-625.79999999999995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"4134", " - ", "NON-TAXABLE SALES-SODA")</f>
        <v xml:space="preserve">          4134 - NON-TAXABLE SALES-SODA</v>
      </c>
      <c r="C18" s="11"/>
      <c r="D18" s="2">
        <f t="shared" si="8"/>
        <v>0</v>
      </c>
      <c r="E18" s="2"/>
      <c r="F18" s="19"/>
      <c r="G18" s="2"/>
      <c r="H18" s="2">
        <f t="shared" ref="H18:H19" si="10"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9"/>
        <v>0</v>
      </c>
      <c r="Q18" s="2"/>
      <c r="R18" s="19"/>
      <c r="S18" s="2"/>
      <c r="T18" s="2">
        <f t="shared" ref="T18:T19" si="11">0</f>
        <v>0</v>
      </c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"4137", " - ", "NON-TAXABLE SALES-WATER")</f>
        <v xml:space="preserve">          4137 - NON-TAXABLE SALES-WATER</v>
      </c>
      <c r="C19" s="11"/>
      <c r="D19" s="2">
        <f t="shared" si="8"/>
        <v>0</v>
      </c>
      <c r="E19" s="2"/>
      <c r="F19" s="19"/>
      <c r="G19" s="2"/>
      <c r="H19" s="2">
        <f t="shared" si="10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si="11"/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--130.35</f>
        <v>130.35</v>
      </c>
      <c r="E20" s="2"/>
      <c r="F20" s="19"/>
      <c r="G20" s="2"/>
      <c r="H20" s="2">
        <f>--110</f>
        <v>110</v>
      </c>
      <c r="I20" s="2"/>
      <c r="J20" s="19"/>
      <c r="K20" s="2"/>
      <c r="L20" s="2">
        <f t="shared" si="0"/>
        <v>20.349999999999994</v>
      </c>
      <c r="M20" s="2"/>
      <c r="N20" s="19">
        <f t="shared" si="1"/>
        <v>0.18499999999999994</v>
      </c>
      <c r="O20" s="11"/>
      <c r="P20" s="2">
        <f>--130.35</f>
        <v>130.35</v>
      </c>
      <c r="Q20" s="2"/>
      <c r="R20" s="19"/>
      <c r="S20" s="2"/>
      <c r="T20" s="2">
        <f>--110</f>
        <v>110</v>
      </c>
      <c r="U20" s="2"/>
      <c r="V20" s="19"/>
      <c r="W20" s="2"/>
      <c r="X20" s="2">
        <f t="shared" si="2"/>
        <v>20.349999999999994</v>
      </c>
      <c r="Y20" s="2"/>
      <c r="Z20" s="19">
        <f t="shared" si="3"/>
        <v>0.18499999999999994</v>
      </c>
    </row>
    <row r="21" spans="1:26" x14ac:dyDescent="0.3">
      <c r="A21" s="9"/>
      <c r="B21" s="10"/>
      <c r="C21" s="9"/>
      <c r="D21" s="3"/>
      <c r="E21" s="3"/>
      <c r="F21" s="6"/>
      <c r="G21" s="3"/>
      <c r="H21" s="3"/>
      <c r="I21" s="3"/>
      <c r="J21" s="6"/>
      <c r="K21" s="3"/>
      <c r="L21" s="3"/>
      <c r="M21" s="3"/>
      <c r="N21" s="6"/>
      <c r="P21" s="3"/>
      <c r="Q21" s="3"/>
      <c r="R21" s="6"/>
      <c r="S21" s="3"/>
      <c r="T21" s="3"/>
      <c r="U21" s="3"/>
      <c r="V21" s="6"/>
      <c r="W21" s="3"/>
      <c r="X21" s="3"/>
      <c r="Y21" s="3"/>
      <c r="Z21" s="6"/>
    </row>
    <row r="22" spans="1:26" s="23" customFormat="1" collapsed="1" x14ac:dyDescent="0.3">
      <c r="A22" s="10"/>
      <c r="B22" s="26" t="s">
        <v>256</v>
      </c>
      <c r="C22" s="10"/>
      <c r="D22" s="4">
        <f>SUM(OSRRefD16x_0)</f>
        <v>3246.5599999999995</v>
      </c>
      <c r="E22" s="4"/>
      <c r="F22" s="12">
        <f t="shared" ref="F22:F24" si="12">IF(D$12=0,0,D22/D$12)</f>
        <v>0.48709554487977735</v>
      </c>
      <c r="G22" s="4"/>
      <c r="H22" s="4">
        <f>SUM(OSRRefH16x_0)</f>
        <v>-2042.7699999999998</v>
      </c>
      <c r="I22" s="4"/>
      <c r="J22" s="12">
        <f t="shared" ref="J22:J24" si="13">IF(H$12=0,0,H22/H$12)</f>
        <v>-2.4790898058252426</v>
      </c>
      <c r="K22" s="4"/>
      <c r="L22" s="4">
        <f t="shared" ref="L22:L24" si="14">+D22-H22</f>
        <v>5289.329999999999</v>
      </c>
      <c r="M22" s="4"/>
      <c r="N22" s="12">
        <f t="shared" ref="N22:N24" si="15">IF(H22=0,0,L22/H22)</f>
        <v>-2.5892929698399718</v>
      </c>
      <c r="O22" s="10"/>
      <c r="P22" s="4">
        <f>SUM(OSRRefP16x_0)</f>
        <v>3246.5599999999995</v>
      </c>
      <c r="Q22" s="4"/>
      <c r="R22" s="12">
        <f t="shared" ref="R22:R24" si="16">IF(P$12=0,0,P22/P$12)</f>
        <v>0.48709554487977735</v>
      </c>
      <c r="S22" s="4"/>
      <c r="T22" s="4">
        <f>SUM(OSRRefT16x_0)</f>
        <v>-2269.6400000000003</v>
      </c>
      <c r="U22" s="4"/>
      <c r="V22" s="12">
        <f t="shared" ref="V22:V24" si="17">IF(T$12=0,0,T22/T$12)</f>
        <v>-2.7544174757281557</v>
      </c>
      <c r="W22" s="4"/>
      <c r="X22" s="4">
        <f t="shared" ref="X22:X24" si="18">+P22-T22</f>
        <v>5516.2</v>
      </c>
      <c r="Y22" s="4"/>
      <c r="Z22" s="12">
        <f t="shared" ref="Z22:Z24" si="19">IF(T22=0,0,X22/T22)</f>
        <v>-2.430429495426587</v>
      </c>
    </row>
    <row r="23" spans="1:26" s="24" customFormat="1" hidden="1" outlineLevel="1" x14ac:dyDescent="0.3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14985.56</v>
      </c>
      <c r="E23" s="2"/>
      <c r="F23" s="19">
        <f t="shared" si="12"/>
        <v>2.2483488718916629</v>
      </c>
      <c r="G23" s="2"/>
      <c r="H23" s="2">
        <v>-2111.6799999999998</v>
      </c>
      <c r="I23" s="2"/>
      <c r="J23" s="19">
        <f t="shared" si="13"/>
        <v>-2.5627184466019415</v>
      </c>
      <c r="K23" s="2"/>
      <c r="L23" s="2">
        <f t="shared" si="14"/>
        <v>17097.239999999998</v>
      </c>
      <c r="M23" s="2"/>
      <c r="N23" s="19">
        <f t="shared" si="15"/>
        <v>-8.0965108349749961</v>
      </c>
      <c r="O23" s="11"/>
      <c r="P23" s="2">
        <v>14985.56</v>
      </c>
      <c r="Q23" s="2"/>
      <c r="R23" s="19">
        <f t="shared" si="16"/>
        <v>2.2483488718916629</v>
      </c>
      <c r="S23" s="2"/>
      <c r="T23" s="2">
        <v>-2338.5500000000002</v>
      </c>
      <c r="U23" s="2"/>
      <c r="V23" s="19">
        <f t="shared" si="17"/>
        <v>-2.8380461165048545</v>
      </c>
      <c r="W23" s="2"/>
      <c r="X23" s="2">
        <f t="shared" si="18"/>
        <v>17324.11</v>
      </c>
      <c r="Y23" s="2"/>
      <c r="Z23" s="19">
        <f t="shared" si="19"/>
        <v>-7.408056274186996</v>
      </c>
    </row>
    <row r="24" spans="1:26" s="24" customFormat="1" hidden="1" outlineLevel="1" x14ac:dyDescent="0.3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-11739</v>
      </c>
      <c r="E24" s="2"/>
      <c r="F24" s="19">
        <f t="shared" si="12"/>
        <v>-1.7612533270118855</v>
      </c>
      <c r="G24" s="2"/>
      <c r="H24" s="2">
        <v>68.91</v>
      </c>
      <c r="I24" s="2"/>
      <c r="J24" s="19">
        <f t="shared" si="13"/>
        <v>8.3628640776699029E-2</v>
      </c>
      <c r="K24" s="2"/>
      <c r="L24" s="2">
        <f t="shared" si="14"/>
        <v>-11807.91</v>
      </c>
      <c r="M24" s="2"/>
      <c r="N24" s="19">
        <f t="shared" si="15"/>
        <v>-171.35263387026558</v>
      </c>
      <c r="O24" s="11"/>
      <c r="P24" s="2">
        <v>-11739</v>
      </c>
      <c r="Q24" s="2"/>
      <c r="R24" s="19">
        <f t="shared" si="16"/>
        <v>-1.7612533270118855</v>
      </c>
      <c r="S24" s="2"/>
      <c r="T24" s="2">
        <v>68.91</v>
      </c>
      <c r="U24" s="2"/>
      <c r="V24" s="19">
        <f t="shared" si="17"/>
        <v>8.3628640776699029E-2</v>
      </c>
      <c r="W24" s="2"/>
      <c r="X24" s="2">
        <f t="shared" si="18"/>
        <v>-11807.91</v>
      </c>
      <c r="Y24" s="2"/>
      <c r="Z24" s="19">
        <f t="shared" si="19"/>
        <v>-171.35263387026558</v>
      </c>
    </row>
    <row r="25" spans="1:26" x14ac:dyDescent="0.3">
      <c r="A25" s="9"/>
      <c r="B25" s="10"/>
      <c r="C25" s="10"/>
      <c r="D25" s="3"/>
      <c r="E25" s="3"/>
      <c r="F25" s="6"/>
      <c r="G25" s="3"/>
      <c r="H25" s="3"/>
      <c r="I25" s="3"/>
      <c r="J25" s="6"/>
      <c r="K25" s="3"/>
      <c r="L25" s="3"/>
      <c r="M25" s="3"/>
      <c r="N25" s="6"/>
      <c r="O25" s="10"/>
      <c r="P25" s="3"/>
      <c r="Q25" s="3"/>
      <c r="R25" s="6"/>
      <c r="S25" s="3"/>
      <c r="T25" s="3"/>
      <c r="U25" s="3"/>
      <c r="V25" s="6"/>
      <c r="W25" s="3"/>
      <c r="X25" s="3"/>
      <c r="Y25" s="3"/>
      <c r="Z25" s="6"/>
    </row>
    <row r="26" spans="1:26" s="23" customFormat="1" x14ac:dyDescent="0.3">
      <c r="A26" s="10"/>
      <c r="B26" s="25" t="s">
        <v>107</v>
      </c>
      <c r="C26" s="25"/>
      <c r="D26" s="20">
        <f>D12-D22</f>
        <v>3418.5800000000008</v>
      </c>
      <c r="E26" s="13"/>
      <c r="F26" s="22">
        <f>IF(D$12=0,0,D26/D$12)</f>
        <v>0.51290445512022265</v>
      </c>
      <c r="G26" s="13"/>
      <c r="H26" s="20">
        <f>H12-H22</f>
        <v>2866.7699999999995</v>
      </c>
      <c r="I26" s="13"/>
      <c r="J26" s="22">
        <f>IF(H$12=0,0,H26/H$12)</f>
        <v>3.4790898058252422</v>
      </c>
      <c r="K26" s="15"/>
      <c r="L26" s="20">
        <f>+D26-H26</f>
        <v>551.81000000000131</v>
      </c>
      <c r="M26" s="15"/>
      <c r="N26" s="22">
        <f>IF(H26=0,0,L26/H26)</f>
        <v>0.1924849220551357</v>
      </c>
      <c r="O26" s="26"/>
      <c r="P26" s="20">
        <f>P12-P22</f>
        <v>3418.5800000000008</v>
      </c>
      <c r="Q26" s="13"/>
      <c r="R26" s="22">
        <f>IF(P$12=0,0,P26/P$12)</f>
        <v>0.51290445512022265</v>
      </c>
      <c r="S26" s="13"/>
      <c r="T26" s="20">
        <f>T12-T22</f>
        <v>3093.6400000000003</v>
      </c>
      <c r="U26" s="13"/>
      <c r="V26" s="22">
        <f>IF(T$12=0,0,T26/T$12)</f>
        <v>3.7544174757281557</v>
      </c>
      <c r="W26" s="15"/>
      <c r="X26" s="20">
        <f>+P26-T26</f>
        <v>324.94000000000051</v>
      </c>
      <c r="Y26" s="15"/>
      <c r="Z26" s="22">
        <f>IF(T26=0,0,X26/T26)</f>
        <v>0.10503484568340223</v>
      </c>
    </row>
    <row r="27" spans="1:26" x14ac:dyDescent="0.3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294</v>
      </c>
      <c r="C28" s="10"/>
      <c r="D28" s="21">
        <f>SUM(OSRRefD22x_0)</f>
        <v>28081.420000000002</v>
      </c>
      <c r="E28" s="21"/>
      <c r="F28" s="32">
        <f t="shared" ref="F28:F37" si="20">IF(D$12=0,0,D28/D$12)</f>
        <v>4.2131778177202577</v>
      </c>
      <c r="G28" s="21"/>
      <c r="H28" s="21">
        <f>SUM(OSRRefH22x_0)</f>
        <v>29978.66</v>
      </c>
      <c r="I28" s="21"/>
      <c r="J28" s="32">
        <f t="shared" ref="J28:J37" si="21">IF(H$12=0,0,H28/H$12)</f>
        <v>36.381868932038834</v>
      </c>
      <c r="K28" s="4"/>
      <c r="L28" s="21">
        <f t="shared" ref="L28:L37" si="22">+D28-H28</f>
        <v>-1897.239999999998</v>
      </c>
      <c r="M28" s="4"/>
      <c r="N28" s="32">
        <f t="shared" ref="N28:N37" si="23">IF(H28=0,0,L28/H28)</f>
        <v>-6.3286351024361934E-2</v>
      </c>
      <c r="O28" s="10"/>
      <c r="P28" s="21">
        <f>SUM(OSRRefP22x_0)</f>
        <v>40011.32</v>
      </c>
      <c r="Q28" s="21"/>
      <c r="R28" s="32">
        <f t="shared" ref="R28:R37" si="24">IF(P$12=0,0,P28/P$12)</f>
        <v>6.0030727036491349</v>
      </c>
      <c r="S28" s="21"/>
      <c r="T28" s="21">
        <f>SUM(OSRRefT22x_0)</f>
        <v>65253.740000000005</v>
      </c>
      <c r="U28" s="21"/>
      <c r="V28" s="32">
        <f t="shared" ref="V28:V37" si="25">IF(T$12=0,0,T28/T$12)</f>
        <v>79.191432038834961</v>
      </c>
      <c r="W28" s="4"/>
      <c r="X28" s="21">
        <f t="shared" ref="X28:X37" si="26">+P28-T28</f>
        <v>-25242.420000000006</v>
      </c>
      <c r="Y28" s="4"/>
      <c r="Z28" s="32">
        <f t="shared" ref="Z28:Z37" si="27">IF(T28=0,0,X28/T28)</f>
        <v>-0.38683483889199305</v>
      </c>
    </row>
    <row r="29" spans="1:26" s="28" customFormat="1" outlineLevel="1" collapsed="1" x14ac:dyDescent="0.3">
      <c r="A29" s="29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284.44</v>
      </c>
      <c r="E29" s="1"/>
      <c r="F29" s="5">
        <f t="shared" si="20"/>
        <v>4.2675772751960196E-2</v>
      </c>
      <c r="G29" s="1"/>
      <c r="H29" s="1">
        <f>SUM(OSRRefH22_0x_0)</f>
        <v>5943.08</v>
      </c>
      <c r="I29" s="1"/>
      <c r="J29" s="5">
        <f t="shared" si="21"/>
        <v>7.21247572815534</v>
      </c>
      <c r="K29" s="1"/>
      <c r="L29" s="1">
        <f t="shared" si="22"/>
        <v>-5658.64</v>
      </c>
      <c r="M29" s="1"/>
      <c r="N29" s="5">
        <f t="shared" si="23"/>
        <v>-0.95213929477644599</v>
      </c>
      <c r="O29" s="14"/>
      <c r="P29" s="1">
        <f>SUM(OSRRefP22_0x_0)</f>
        <v>284.44</v>
      </c>
      <c r="Q29" s="1"/>
      <c r="R29" s="5">
        <f t="shared" si="24"/>
        <v>4.2675772751960196E-2</v>
      </c>
      <c r="S29" s="1"/>
      <c r="T29" s="1">
        <f>SUM(OSRRefT22_0x_0)</f>
        <v>14938.28</v>
      </c>
      <c r="U29" s="1"/>
      <c r="V29" s="5">
        <f t="shared" si="25"/>
        <v>18.128980582524271</v>
      </c>
      <c r="W29" s="1"/>
      <c r="X29" s="1">
        <f t="shared" si="26"/>
        <v>-14653.84</v>
      </c>
      <c r="Y29" s="1"/>
      <c r="Z29" s="5">
        <f t="shared" si="27"/>
        <v>-0.98095898590734676</v>
      </c>
    </row>
    <row r="30" spans="1:26" s="24" customFormat="1" hidden="1" outlineLevel="2" x14ac:dyDescent="0.3">
      <c r="A30" s="27"/>
      <c r="B30" s="11" t="str">
        <f>CONCATENATE("          ", "6111", " - ", "F.I.C.A.")</f>
        <v xml:space="preserve">          6111 - F.I.C.A.</v>
      </c>
      <c r="C30" s="11"/>
      <c r="D30" s="7">
        <v>168.12</v>
      </c>
      <c r="E30" s="2"/>
      <c r="F30" s="8">
        <f t="shared" si="20"/>
        <v>2.5223776244760049E-2</v>
      </c>
      <c r="G30" s="2"/>
      <c r="H30" s="7">
        <v>675.92</v>
      </c>
      <c r="I30" s="2"/>
      <c r="J30" s="8">
        <f t="shared" si="21"/>
        <v>0.82029126213592229</v>
      </c>
      <c r="K30" s="2"/>
      <c r="L30" s="7">
        <f t="shared" si="22"/>
        <v>-507.79999999999995</v>
      </c>
      <c r="M30" s="2"/>
      <c r="N30" s="8">
        <f t="shared" si="23"/>
        <v>-0.75127233992188425</v>
      </c>
      <c r="O30" s="11"/>
      <c r="P30" s="7">
        <v>168.12</v>
      </c>
      <c r="Q30" s="2"/>
      <c r="R30" s="8">
        <f t="shared" si="24"/>
        <v>2.5223776244760049E-2</v>
      </c>
      <c r="S30" s="2"/>
      <c r="T30" s="7">
        <v>1537.1</v>
      </c>
      <c r="U30" s="2"/>
      <c r="V30" s="8">
        <f t="shared" si="25"/>
        <v>1.8654126213592233</v>
      </c>
      <c r="W30" s="2"/>
      <c r="X30" s="7">
        <f t="shared" si="26"/>
        <v>-1368.98</v>
      </c>
      <c r="Y30" s="2"/>
      <c r="Z30" s="8">
        <f t="shared" si="27"/>
        <v>-0.8906252033049249</v>
      </c>
    </row>
    <row r="31" spans="1:26" s="24" customFormat="1" hidden="1" outlineLevel="2" x14ac:dyDescent="0.3">
      <c r="A31" s="27"/>
      <c r="B31" s="11" t="str">
        <f>CONCATENATE("          ", "6112", " - ", "COMPENSATION INSURANCE")</f>
        <v xml:space="preserve">          6112 - COMPENSATION INSURANCE</v>
      </c>
      <c r="C31" s="11"/>
      <c r="D31" s="7">
        <v>32.53</v>
      </c>
      <c r="E31" s="2"/>
      <c r="F31" s="8">
        <f t="shared" si="20"/>
        <v>4.8806176614444707E-3</v>
      </c>
      <c r="G31" s="2"/>
      <c r="H31" s="7">
        <v>163.46</v>
      </c>
      <c r="I31" s="2"/>
      <c r="J31" s="8">
        <f t="shared" si="21"/>
        <v>0.19837378640776701</v>
      </c>
      <c r="K31" s="2"/>
      <c r="L31" s="7">
        <f t="shared" si="22"/>
        <v>-130.93</v>
      </c>
      <c r="M31" s="2"/>
      <c r="N31" s="8">
        <f t="shared" si="23"/>
        <v>-0.80099106815122967</v>
      </c>
      <c r="O31" s="11"/>
      <c r="P31" s="7">
        <v>32.53</v>
      </c>
      <c r="Q31" s="2"/>
      <c r="R31" s="8">
        <f t="shared" si="24"/>
        <v>4.8806176614444707E-3</v>
      </c>
      <c r="S31" s="2"/>
      <c r="T31" s="7">
        <v>333.24</v>
      </c>
      <c r="U31" s="2"/>
      <c r="V31" s="8">
        <f t="shared" si="25"/>
        <v>0.40441747572815534</v>
      </c>
      <c r="W31" s="2"/>
      <c r="X31" s="7">
        <f t="shared" si="26"/>
        <v>-300.71000000000004</v>
      </c>
      <c r="Y31" s="2"/>
      <c r="Z31" s="8">
        <f t="shared" si="27"/>
        <v>-0.90238266714680115</v>
      </c>
    </row>
    <row r="32" spans="1:26" s="24" customFormat="1" hidden="1" outlineLevel="2" x14ac:dyDescent="0.3">
      <c r="A32" s="27"/>
      <c r="B32" s="11" t="str">
        <f>CONCATENATE("          ", "6113", " - ", "GROUP INSURANCE")</f>
        <v xml:space="preserve">          6113 - GROUP INSURANCE</v>
      </c>
      <c r="C32" s="11"/>
      <c r="D32" s="7"/>
      <c r="E32" s="2"/>
      <c r="F32" s="8">
        <f t="shared" si="20"/>
        <v>0</v>
      </c>
      <c r="G32" s="2"/>
      <c r="H32" s="7">
        <v>2704.94</v>
      </c>
      <c r="I32" s="2"/>
      <c r="J32" s="8">
        <f t="shared" si="21"/>
        <v>3.2826941747572818</v>
      </c>
      <c r="K32" s="2"/>
      <c r="L32" s="7">
        <f t="shared" si="22"/>
        <v>-2704.94</v>
      </c>
      <c r="M32" s="2"/>
      <c r="N32" s="8">
        <f t="shared" si="23"/>
        <v>-1</v>
      </c>
      <c r="O32" s="11"/>
      <c r="P32" s="7"/>
      <c r="Q32" s="2"/>
      <c r="R32" s="8">
        <f t="shared" si="24"/>
        <v>0</v>
      </c>
      <c r="S32" s="2"/>
      <c r="T32" s="7">
        <v>7325.51</v>
      </c>
      <c r="U32" s="2"/>
      <c r="V32" s="8">
        <f t="shared" si="25"/>
        <v>8.8901820388349524</v>
      </c>
      <c r="W32" s="2"/>
      <c r="X32" s="7">
        <f t="shared" si="26"/>
        <v>-7325.51</v>
      </c>
      <c r="Y32" s="2"/>
      <c r="Z32" s="8">
        <f t="shared" si="27"/>
        <v>-1</v>
      </c>
    </row>
    <row r="33" spans="1:26" s="24" customFormat="1" hidden="1" outlineLevel="2" x14ac:dyDescent="0.3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7">
        <v>5.71</v>
      </c>
      <c r="E33" s="2"/>
      <c r="F33" s="8">
        <f t="shared" si="20"/>
        <v>8.5669618342600453E-4</v>
      </c>
      <c r="G33" s="2"/>
      <c r="H33" s="7">
        <v>22.98</v>
      </c>
      <c r="I33" s="2"/>
      <c r="J33" s="8">
        <f t="shared" si="21"/>
        <v>2.7888349514563107E-2</v>
      </c>
      <c r="K33" s="2"/>
      <c r="L33" s="7">
        <f t="shared" si="22"/>
        <v>-17.27</v>
      </c>
      <c r="M33" s="2"/>
      <c r="N33" s="8">
        <f t="shared" si="23"/>
        <v>-0.7515230635335074</v>
      </c>
      <c r="O33" s="11"/>
      <c r="P33" s="7">
        <v>5.71</v>
      </c>
      <c r="Q33" s="2"/>
      <c r="R33" s="8">
        <f t="shared" si="24"/>
        <v>8.5669618342600453E-4</v>
      </c>
      <c r="S33" s="2"/>
      <c r="T33" s="7">
        <v>46.84</v>
      </c>
      <c r="U33" s="2"/>
      <c r="V33" s="8">
        <f t="shared" si="25"/>
        <v>5.6844660194174765E-2</v>
      </c>
      <c r="W33" s="2"/>
      <c r="X33" s="7">
        <f t="shared" si="26"/>
        <v>-41.13</v>
      </c>
      <c r="Y33" s="2"/>
      <c r="Z33" s="8">
        <f t="shared" si="27"/>
        <v>-0.87809564474807855</v>
      </c>
    </row>
    <row r="34" spans="1:26" s="24" customFormat="1" hidden="1" outlineLevel="2" x14ac:dyDescent="0.3">
      <c r="A34" s="27"/>
      <c r="B34" s="11" t="str">
        <f>CONCATENATE("          ", "6115", " - ", "P.E.R.S.")</f>
        <v xml:space="preserve">          6115 - P.E.R.S.</v>
      </c>
      <c r="C34" s="11"/>
      <c r="D34" s="7"/>
      <c r="E34" s="2"/>
      <c r="F34" s="8">
        <f t="shared" si="20"/>
        <v>0</v>
      </c>
      <c r="G34" s="2"/>
      <c r="H34" s="7">
        <v>935.63</v>
      </c>
      <c r="I34" s="2"/>
      <c r="J34" s="8">
        <f t="shared" si="21"/>
        <v>1.1354733009708737</v>
      </c>
      <c r="K34" s="2"/>
      <c r="L34" s="7">
        <f t="shared" si="22"/>
        <v>-935.63</v>
      </c>
      <c r="M34" s="2"/>
      <c r="N34" s="8">
        <f t="shared" si="23"/>
        <v>-1</v>
      </c>
      <c r="O34" s="11"/>
      <c r="P34" s="7"/>
      <c r="Q34" s="2"/>
      <c r="R34" s="8">
        <f t="shared" si="24"/>
        <v>0</v>
      </c>
      <c r="S34" s="2"/>
      <c r="T34" s="7">
        <v>2797.96</v>
      </c>
      <c r="U34" s="2"/>
      <c r="V34" s="8">
        <f t="shared" si="25"/>
        <v>3.3955825242718447</v>
      </c>
      <c r="W34" s="2"/>
      <c r="X34" s="7">
        <f t="shared" si="26"/>
        <v>-2797.96</v>
      </c>
      <c r="Y34" s="2"/>
      <c r="Z34" s="8">
        <f t="shared" si="27"/>
        <v>-1</v>
      </c>
    </row>
    <row r="35" spans="1:26" s="24" customFormat="1" hidden="1" outlineLevel="2" x14ac:dyDescent="0.3">
      <c r="A35" s="27"/>
      <c r="B35" s="11" t="str">
        <f>CONCATENATE("          ", "6118", " - ", "VACATION")</f>
        <v xml:space="preserve">          6118 - VACATION</v>
      </c>
      <c r="C35" s="11"/>
      <c r="D35" s="7"/>
      <c r="E35" s="2"/>
      <c r="F35" s="8">
        <f t="shared" si="20"/>
        <v>0</v>
      </c>
      <c r="G35" s="2"/>
      <c r="H35" s="7">
        <v>646.78</v>
      </c>
      <c r="I35" s="2"/>
      <c r="J35" s="8">
        <f t="shared" si="21"/>
        <v>0.78492718446601939</v>
      </c>
      <c r="K35" s="2"/>
      <c r="L35" s="7">
        <f t="shared" si="22"/>
        <v>-646.78</v>
      </c>
      <c r="M35" s="2"/>
      <c r="N35" s="8">
        <f t="shared" si="23"/>
        <v>-1</v>
      </c>
      <c r="O35" s="11"/>
      <c r="P35" s="7"/>
      <c r="Q35" s="2"/>
      <c r="R35" s="8">
        <f t="shared" si="24"/>
        <v>0</v>
      </c>
      <c r="S35" s="2"/>
      <c r="T35" s="7">
        <v>1445.66</v>
      </c>
      <c r="U35" s="2"/>
      <c r="V35" s="8">
        <f t="shared" si="25"/>
        <v>1.7544417475728156</v>
      </c>
      <c r="W35" s="2"/>
      <c r="X35" s="7">
        <f t="shared" si="26"/>
        <v>-1445.66</v>
      </c>
      <c r="Y35" s="2"/>
      <c r="Z35" s="8">
        <f t="shared" si="27"/>
        <v>-1</v>
      </c>
    </row>
    <row r="36" spans="1:26" s="24" customFormat="1" hidden="1" outlineLevel="2" x14ac:dyDescent="0.3">
      <c r="A36" s="27"/>
      <c r="B36" s="11" t="str">
        <f>CONCATENATE("          ", "6119", " - ", "SICK LEAVE")</f>
        <v xml:space="preserve">          6119 - SICK LEAVE</v>
      </c>
      <c r="C36" s="11"/>
      <c r="D36" s="7"/>
      <c r="E36" s="2"/>
      <c r="F36" s="8">
        <f t="shared" si="20"/>
        <v>0</v>
      </c>
      <c r="G36" s="2"/>
      <c r="H36" s="7">
        <v>448.64</v>
      </c>
      <c r="I36" s="2"/>
      <c r="J36" s="8">
        <f t="shared" si="21"/>
        <v>0.54446601941747574</v>
      </c>
      <c r="K36" s="2"/>
      <c r="L36" s="7">
        <f t="shared" si="22"/>
        <v>-448.64</v>
      </c>
      <c r="M36" s="2"/>
      <c r="N36" s="8">
        <f t="shared" si="23"/>
        <v>-1</v>
      </c>
      <c r="O36" s="11"/>
      <c r="P36" s="7"/>
      <c r="Q36" s="2"/>
      <c r="R36" s="8">
        <f t="shared" si="24"/>
        <v>0</v>
      </c>
      <c r="S36" s="2"/>
      <c r="T36" s="7">
        <v>1101.26</v>
      </c>
      <c r="U36" s="2"/>
      <c r="V36" s="8">
        <f t="shared" si="25"/>
        <v>1.3364805825242718</v>
      </c>
      <c r="W36" s="2"/>
      <c r="X36" s="7">
        <f t="shared" si="26"/>
        <v>-1101.26</v>
      </c>
      <c r="Y36" s="2"/>
      <c r="Z36" s="8">
        <f t="shared" si="27"/>
        <v>-1</v>
      </c>
    </row>
    <row r="37" spans="1:26" s="24" customFormat="1" hidden="1" outlineLevel="2" x14ac:dyDescent="0.3">
      <c r="A37" s="27"/>
      <c r="B37" s="11" t="str">
        <f>CONCATENATE("          ", "6156", " - ", "EMPLOYEE MEALS")</f>
        <v xml:space="preserve">          6156 - EMPLOYEE MEALS</v>
      </c>
      <c r="C37" s="11"/>
      <c r="D37" s="7">
        <v>78.08</v>
      </c>
      <c r="E37" s="2"/>
      <c r="F37" s="8">
        <f t="shared" si="20"/>
        <v>1.1714682662329673E-2</v>
      </c>
      <c r="G37" s="2"/>
      <c r="H37" s="7">
        <v>344.73</v>
      </c>
      <c r="I37" s="2"/>
      <c r="J37" s="8">
        <f t="shared" si="21"/>
        <v>0.41836165048543694</v>
      </c>
      <c r="K37" s="2"/>
      <c r="L37" s="7">
        <f t="shared" si="22"/>
        <v>-266.65000000000003</v>
      </c>
      <c r="M37" s="2"/>
      <c r="N37" s="8">
        <f t="shared" si="23"/>
        <v>-0.77350390160415405</v>
      </c>
      <c r="O37" s="11"/>
      <c r="P37" s="7">
        <v>78.08</v>
      </c>
      <c r="Q37" s="2"/>
      <c r="R37" s="8">
        <f t="shared" si="24"/>
        <v>1.1714682662329673E-2</v>
      </c>
      <c r="S37" s="2"/>
      <c r="T37" s="7">
        <v>350.71</v>
      </c>
      <c r="U37" s="2"/>
      <c r="V37" s="8">
        <f t="shared" si="25"/>
        <v>0.42561893203883494</v>
      </c>
      <c r="W37" s="2"/>
      <c r="X37" s="7">
        <f t="shared" si="26"/>
        <v>-272.63</v>
      </c>
      <c r="Y37" s="2"/>
      <c r="Z37" s="8">
        <f t="shared" si="27"/>
        <v>-0.7773659148584301</v>
      </c>
    </row>
    <row r="38" spans="1:26" s="28" customFormat="1" outlineLevel="1" collapsed="1" x14ac:dyDescent="0.3">
      <c r="A38" s="29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3626.66</v>
      </c>
      <c r="E38" s="1"/>
      <c r="F38" s="5">
        <f t="shared" ref="F38:F41" si="28">IF(D$12=0,0,D38/D$12)</f>
        <v>0.54412360430538587</v>
      </c>
      <c r="G38" s="1"/>
      <c r="H38" s="1">
        <f>SUM(OSRRefH22_1x_0)</f>
        <v>10173.66</v>
      </c>
      <c r="I38" s="1"/>
      <c r="J38" s="5">
        <f t="shared" ref="J38:J41" si="29">IF(H$12=0,0,H38/H$12)</f>
        <v>12.346674757281553</v>
      </c>
      <c r="K38" s="1"/>
      <c r="L38" s="1">
        <f t="shared" ref="L38:L41" si="30">+D38-H38</f>
        <v>-6547</v>
      </c>
      <c r="M38" s="1"/>
      <c r="N38" s="5">
        <f t="shared" ref="N38:N41" si="31">IF(H38=0,0,L38/H38)</f>
        <v>-0.64352455261921471</v>
      </c>
      <c r="O38" s="14"/>
      <c r="P38" s="1">
        <f>SUM(OSRRefP22_1x_0)</f>
        <v>3626.66</v>
      </c>
      <c r="Q38" s="1"/>
      <c r="R38" s="5">
        <f t="shared" ref="R38:R41" si="32">IF(P$12=0,0,P38/P$12)</f>
        <v>0.54412360430538587</v>
      </c>
      <c r="S38" s="1"/>
      <c r="T38" s="1">
        <f>SUM(OSRRefT22_1x_0)</f>
        <v>21650.69</v>
      </c>
      <c r="U38" s="1"/>
      <c r="V38" s="5">
        <f t="shared" ref="V38:V41" si="33">IF(T$12=0,0,T38/T$12)</f>
        <v>26.275109223300969</v>
      </c>
      <c r="W38" s="1"/>
      <c r="X38" s="1">
        <f t="shared" ref="X38:X41" si="34">+P38-T38</f>
        <v>-18024.03</v>
      </c>
      <c r="Y38" s="1"/>
      <c r="Z38" s="5">
        <f t="shared" ref="Z38:Z41" si="35">IF(T38=0,0,X38/T38)</f>
        <v>-0.83249217461429637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7"/>
      <c r="E39" s="2"/>
      <c r="F39" s="8">
        <f t="shared" si="28"/>
        <v>0</v>
      </c>
      <c r="G39" s="2"/>
      <c r="H39" s="7">
        <v>9518.66</v>
      </c>
      <c r="I39" s="2"/>
      <c r="J39" s="8">
        <f t="shared" si="29"/>
        <v>11.551771844660195</v>
      </c>
      <c r="K39" s="2"/>
      <c r="L39" s="7">
        <f t="shared" si="30"/>
        <v>-9518.66</v>
      </c>
      <c r="M39" s="2"/>
      <c r="N39" s="8">
        <f t="shared" si="31"/>
        <v>-1</v>
      </c>
      <c r="O39" s="11"/>
      <c r="P39" s="7"/>
      <c r="Q39" s="2"/>
      <c r="R39" s="8">
        <f t="shared" si="32"/>
        <v>0</v>
      </c>
      <c r="S39" s="2"/>
      <c r="T39" s="7">
        <v>20995.69</v>
      </c>
      <c r="U39" s="2"/>
      <c r="V39" s="8">
        <f t="shared" si="33"/>
        <v>25.480206310679609</v>
      </c>
      <c r="W39" s="2"/>
      <c r="X39" s="7">
        <f t="shared" si="34"/>
        <v>-20995.69</v>
      </c>
      <c r="Y39" s="2"/>
      <c r="Z39" s="8">
        <f t="shared" si="35"/>
        <v>-1</v>
      </c>
    </row>
    <row r="40" spans="1:26" s="24" customFormat="1" hidden="1" outlineLevel="2" x14ac:dyDescent="0.3">
      <c r="A40" s="27"/>
      <c r="B40" s="11" t="str">
        <f>CONCATENATE("          ", "6005", " - ", "TEMPORARY WAGES-HOURLY")</f>
        <v xml:space="preserve">          6005 - TEMPORARY WAGES-HOURLY</v>
      </c>
      <c r="C40" s="11"/>
      <c r="D40" s="7">
        <v>1349.1</v>
      </c>
      <c r="E40" s="2"/>
      <c r="F40" s="8">
        <f t="shared" si="28"/>
        <v>0.2024113521996537</v>
      </c>
      <c r="G40" s="2"/>
      <c r="H40" s="7"/>
      <c r="I40" s="2"/>
      <c r="J40" s="8">
        <f t="shared" si="29"/>
        <v>0</v>
      </c>
      <c r="K40" s="2"/>
      <c r="L40" s="7">
        <f t="shared" si="30"/>
        <v>1349.1</v>
      </c>
      <c r="M40" s="2"/>
      <c r="N40" s="8">
        <f t="shared" si="31"/>
        <v>0</v>
      </c>
      <c r="O40" s="11"/>
      <c r="P40" s="7">
        <v>1349.1</v>
      </c>
      <c r="Q40" s="2"/>
      <c r="R40" s="8">
        <f t="shared" si="32"/>
        <v>0.2024113521996537</v>
      </c>
      <c r="S40" s="2"/>
      <c r="T40" s="7"/>
      <c r="U40" s="2"/>
      <c r="V40" s="8">
        <f t="shared" si="33"/>
        <v>0</v>
      </c>
      <c r="W40" s="2"/>
      <c r="X40" s="7">
        <f t="shared" si="34"/>
        <v>1349.1</v>
      </c>
      <c r="Y40" s="2"/>
      <c r="Z40" s="8">
        <f t="shared" si="35"/>
        <v>0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7">
        <v>2277.56</v>
      </c>
      <c r="E41" s="2"/>
      <c r="F41" s="8">
        <f t="shared" si="28"/>
        <v>0.34171225210573219</v>
      </c>
      <c r="G41" s="2"/>
      <c r="H41" s="7">
        <v>655</v>
      </c>
      <c r="I41" s="2"/>
      <c r="J41" s="8">
        <f t="shared" si="29"/>
        <v>0.79490291262135926</v>
      </c>
      <c r="K41" s="2"/>
      <c r="L41" s="7">
        <f t="shared" si="30"/>
        <v>1622.56</v>
      </c>
      <c r="M41" s="2"/>
      <c r="N41" s="8">
        <f t="shared" si="31"/>
        <v>2.4771908396946563</v>
      </c>
      <c r="O41" s="11"/>
      <c r="P41" s="7">
        <v>2277.56</v>
      </c>
      <c r="Q41" s="2"/>
      <c r="R41" s="8">
        <f t="shared" si="32"/>
        <v>0.34171225210573219</v>
      </c>
      <c r="S41" s="2"/>
      <c r="T41" s="7">
        <v>655</v>
      </c>
      <c r="U41" s="2"/>
      <c r="V41" s="8">
        <f t="shared" si="33"/>
        <v>0.79490291262135926</v>
      </c>
      <c r="W41" s="2"/>
      <c r="X41" s="7">
        <f t="shared" si="34"/>
        <v>1622.56</v>
      </c>
      <c r="Y41" s="2"/>
      <c r="Z41" s="8">
        <f t="shared" si="35"/>
        <v>2.4771908396946563</v>
      </c>
    </row>
    <row r="42" spans="1:26" s="28" customFormat="1" outlineLevel="1" collapsed="1" x14ac:dyDescent="0.3">
      <c r="A42" s="29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87.97</v>
      </c>
      <c r="E42" s="1"/>
      <c r="F42" s="5">
        <f t="shared" ref="F42:F50" si="36">IF(D$12=0,0,D42/D$12)</f>
        <v>1.3198522461643715E-2</v>
      </c>
      <c r="G42" s="1"/>
      <c r="H42" s="1">
        <f>SUM(OSRRefH22_2x_0)</f>
        <v>0</v>
      </c>
      <c r="I42" s="1"/>
      <c r="J42" s="5">
        <f t="shared" ref="J42:J50" si="37">IF(H$12=0,0,H42/H$12)</f>
        <v>0</v>
      </c>
      <c r="K42" s="1"/>
      <c r="L42" s="1">
        <f t="shared" ref="L42:L50" si="38">+D42-H42</f>
        <v>87.97</v>
      </c>
      <c r="M42" s="1"/>
      <c r="N42" s="5">
        <f t="shared" ref="N42:N50" si="39">IF(H42=0,0,L42/H42)</f>
        <v>0</v>
      </c>
      <c r="O42" s="14"/>
      <c r="P42" s="1">
        <f>SUM(OSRRefP22_2x_0)</f>
        <v>87.97</v>
      </c>
      <c r="Q42" s="1"/>
      <c r="R42" s="5">
        <f t="shared" ref="R42:R50" si="40">IF(P$12=0,0,P42/P$12)</f>
        <v>1.3198522461643715E-2</v>
      </c>
      <c r="S42" s="1"/>
      <c r="T42" s="1">
        <f>SUM(OSRRefT22_2x_0)</f>
        <v>0</v>
      </c>
      <c r="U42" s="1"/>
      <c r="V42" s="5">
        <f t="shared" ref="V42:V50" si="41">IF(T$12=0,0,T42/T$12)</f>
        <v>0</v>
      </c>
      <c r="W42" s="1"/>
      <c r="X42" s="1">
        <f t="shared" ref="X42:X50" si="42">+P42-T42</f>
        <v>87.97</v>
      </c>
      <c r="Y42" s="1"/>
      <c r="Z42" s="5">
        <f t="shared" ref="Z42:Z50" si="43">IF(T42=0,0,X42/T42)</f>
        <v>0</v>
      </c>
    </row>
    <row r="43" spans="1:26" s="24" customFormat="1" hidden="1" outlineLevel="2" x14ac:dyDescent="0.3">
      <c r="A43" s="27"/>
      <c r="B43" s="11" t="str">
        <f>CONCATENATE("          ", "6362", " - ", "ADVERTISING EXPENSE")</f>
        <v xml:space="preserve">          6362 - ADVERTISING EXPENSE</v>
      </c>
      <c r="C43" s="11"/>
      <c r="D43" s="7">
        <v>87.97</v>
      </c>
      <c r="E43" s="2"/>
      <c r="F43" s="8">
        <f t="shared" si="36"/>
        <v>1.3198522461643715E-2</v>
      </c>
      <c r="G43" s="2"/>
      <c r="H43" s="7"/>
      <c r="I43" s="2"/>
      <c r="J43" s="8">
        <f t="shared" si="37"/>
        <v>0</v>
      </c>
      <c r="K43" s="2"/>
      <c r="L43" s="7">
        <f t="shared" si="38"/>
        <v>87.97</v>
      </c>
      <c r="M43" s="2"/>
      <c r="N43" s="8">
        <f t="shared" si="39"/>
        <v>0</v>
      </c>
      <c r="O43" s="11"/>
      <c r="P43" s="7">
        <v>87.97</v>
      </c>
      <c r="Q43" s="2"/>
      <c r="R43" s="8">
        <f t="shared" si="40"/>
        <v>1.3198522461643715E-2</v>
      </c>
      <c r="S43" s="2"/>
      <c r="T43" s="7"/>
      <c r="U43" s="2"/>
      <c r="V43" s="8">
        <f t="shared" si="41"/>
        <v>0</v>
      </c>
      <c r="W43" s="2"/>
      <c r="X43" s="7">
        <f t="shared" si="42"/>
        <v>87.97</v>
      </c>
      <c r="Y43" s="2"/>
      <c r="Z43" s="8">
        <f t="shared" si="43"/>
        <v>0</v>
      </c>
    </row>
    <row r="44" spans="1:26" s="28" customFormat="1" outlineLevel="1" collapsed="1" x14ac:dyDescent="0.3">
      <c r="A44" s="29"/>
      <c r="B44" s="14" t="str">
        <f>CONCATENATE("     ","Bad Debts/Over/Short                              ")</f>
        <v xml:space="preserve">     Bad Debts/Over/Short                              </v>
      </c>
      <c r="C44" s="14"/>
      <c r="D44" s="1">
        <f>SUM(OSRRefD22_3x_0)</f>
        <v>-1.3</v>
      </c>
      <c r="E44" s="1"/>
      <c r="F44" s="5">
        <f t="shared" si="36"/>
        <v>-1.950446652283373E-4</v>
      </c>
      <c r="G44" s="1"/>
      <c r="H44" s="1">
        <f>SUM(OSRRefH22_3x_0)</f>
        <v>3.75</v>
      </c>
      <c r="I44" s="1"/>
      <c r="J44" s="5">
        <f t="shared" si="37"/>
        <v>4.5509708737864075E-3</v>
      </c>
      <c r="K44" s="1"/>
      <c r="L44" s="1">
        <f t="shared" si="38"/>
        <v>-5.05</v>
      </c>
      <c r="M44" s="1"/>
      <c r="N44" s="5">
        <f t="shared" si="39"/>
        <v>-1.3466666666666667</v>
      </c>
      <c r="O44" s="14"/>
      <c r="P44" s="1">
        <f>SUM(OSRRefP22_3x_0)</f>
        <v>-1.3</v>
      </c>
      <c r="Q44" s="1"/>
      <c r="R44" s="5">
        <f t="shared" si="40"/>
        <v>-1.950446652283373E-4</v>
      </c>
      <c r="S44" s="1"/>
      <c r="T44" s="1">
        <f>SUM(OSRRefT22_3x_0)</f>
        <v>3.75</v>
      </c>
      <c r="U44" s="1"/>
      <c r="V44" s="5">
        <f t="shared" si="41"/>
        <v>4.5509708737864075E-3</v>
      </c>
      <c r="W44" s="1"/>
      <c r="X44" s="1">
        <f t="shared" si="42"/>
        <v>-5.05</v>
      </c>
      <c r="Y44" s="1"/>
      <c r="Z44" s="5">
        <f t="shared" si="43"/>
        <v>-1.3466666666666667</v>
      </c>
    </row>
    <row r="45" spans="1:26" s="24" customFormat="1" hidden="1" outlineLevel="2" x14ac:dyDescent="0.3">
      <c r="A45" s="27"/>
      <c r="B45" s="11" t="str">
        <f>CONCATENATE("          ", "6272", " - ", "CASH (OVER/SHORT)")</f>
        <v xml:space="preserve">          6272 - CASH (OVER/SHORT)</v>
      </c>
      <c r="C45" s="11"/>
      <c r="D45" s="7">
        <v>-1.3</v>
      </c>
      <c r="E45" s="2"/>
      <c r="F45" s="8">
        <f t="shared" si="36"/>
        <v>-1.950446652283373E-4</v>
      </c>
      <c r="G45" s="2"/>
      <c r="H45" s="7">
        <v>3.75</v>
      </c>
      <c r="I45" s="2"/>
      <c r="J45" s="8">
        <f t="shared" si="37"/>
        <v>4.5509708737864075E-3</v>
      </c>
      <c r="K45" s="2"/>
      <c r="L45" s="7">
        <f t="shared" si="38"/>
        <v>-5.05</v>
      </c>
      <c r="M45" s="2"/>
      <c r="N45" s="8">
        <f t="shared" si="39"/>
        <v>-1.3466666666666667</v>
      </c>
      <c r="O45" s="11"/>
      <c r="P45" s="7">
        <v>-1.3</v>
      </c>
      <c r="Q45" s="2"/>
      <c r="R45" s="8">
        <f t="shared" si="40"/>
        <v>-1.950446652283373E-4</v>
      </c>
      <c r="S45" s="2"/>
      <c r="T45" s="7">
        <v>3.75</v>
      </c>
      <c r="U45" s="2"/>
      <c r="V45" s="8">
        <f t="shared" si="41"/>
        <v>4.5509708737864075E-3</v>
      </c>
      <c r="W45" s="2"/>
      <c r="X45" s="7">
        <f t="shared" si="42"/>
        <v>-5.05</v>
      </c>
      <c r="Y45" s="2"/>
      <c r="Z45" s="8">
        <f t="shared" si="43"/>
        <v>-1.3466666666666667</v>
      </c>
    </row>
    <row r="46" spans="1:26" s="28" customFormat="1" outlineLevel="1" collapsed="1" x14ac:dyDescent="0.3">
      <c r="A46" s="29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419.56</v>
      </c>
      <c r="E46" s="1"/>
      <c r="F46" s="5">
        <f t="shared" si="36"/>
        <v>6.2948415187077833E-2</v>
      </c>
      <c r="G46" s="1"/>
      <c r="H46" s="1">
        <f>SUM(OSRRefH22_4x_0)</f>
        <v>60</v>
      </c>
      <c r="I46" s="1"/>
      <c r="J46" s="5">
        <f t="shared" si="37"/>
        <v>7.281553398058252E-2</v>
      </c>
      <c r="K46" s="1"/>
      <c r="L46" s="1">
        <f t="shared" si="38"/>
        <v>359.56</v>
      </c>
      <c r="M46" s="1"/>
      <c r="N46" s="5">
        <f t="shared" si="39"/>
        <v>5.9926666666666666</v>
      </c>
      <c r="O46" s="14"/>
      <c r="P46" s="1">
        <f>SUM(OSRRefP22_4x_0)</f>
        <v>495.02</v>
      </c>
      <c r="Q46" s="1"/>
      <c r="R46" s="5">
        <f t="shared" si="40"/>
        <v>7.427000783179348E-2</v>
      </c>
      <c r="S46" s="1"/>
      <c r="T46" s="1">
        <f>SUM(OSRRefT22_4x_0)</f>
        <v>120</v>
      </c>
      <c r="U46" s="1"/>
      <c r="V46" s="5">
        <f t="shared" si="41"/>
        <v>0.14563106796116504</v>
      </c>
      <c r="W46" s="1"/>
      <c r="X46" s="1">
        <f t="shared" si="42"/>
        <v>375.02</v>
      </c>
      <c r="Y46" s="1"/>
      <c r="Z46" s="5">
        <f t="shared" si="43"/>
        <v>3.1251666666666664</v>
      </c>
    </row>
    <row r="47" spans="1:26" s="24" customFormat="1" hidden="1" outlineLevel="2" x14ac:dyDescent="0.3">
      <c r="A47" s="27"/>
      <c r="B47" s="11" t="str">
        <f>CONCATENATE("          ", "6381", " - ", "BANK/CREDIT CARD FEES")</f>
        <v xml:space="preserve">          6381 - BANK/CREDIT CARD FEES</v>
      </c>
      <c r="C47" s="11"/>
      <c r="D47" s="7">
        <v>419.56</v>
      </c>
      <c r="E47" s="2"/>
      <c r="F47" s="8">
        <f t="shared" si="36"/>
        <v>6.2948415187077833E-2</v>
      </c>
      <c r="G47" s="2"/>
      <c r="H47" s="7">
        <v>60</v>
      </c>
      <c r="I47" s="2"/>
      <c r="J47" s="8">
        <f t="shared" si="37"/>
        <v>7.281553398058252E-2</v>
      </c>
      <c r="K47" s="2"/>
      <c r="L47" s="7">
        <f t="shared" si="38"/>
        <v>359.56</v>
      </c>
      <c r="M47" s="2"/>
      <c r="N47" s="8">
        <f t="shared" si="39"/>
        <v>5.9926666666666666</v>
      </c>
      <c r="O47" s="11"/>
      <c r="P47" s="7">
        <v>495.02</v>
      </c>
      <c r="Q47" s="2"/>
      <c r="R47" s="8">
        <f t="shared" si="40"/>
        <v>7.427000783179348E-2</v>
      </c>
      <c r="S47" s="2"/>
      <c r="T47" s="7">
        <v>120</v>
      </c>
      <c r="U47" s="2"/>
      <c r="V47" s="8">
        <f t="shared" si="41"/>
        <v>0.14563106796116504</v>
      </c>
      <c r="W47" s="2"/>
      <c r="X47" s="7">
        <f t="shared" si="42"/>
        <v>375.02</v>
      </c>
      <c r="Y47" s="2"/>
      <c r="Z47" s="8">
        <f t="shared" si="43"/>
        <v>3.1251666666666664</v>
      </c>
    </row>
    <row r="48" spans="1:26" s="28" customFormat="1" outlineLevel="1" collapsed="1" x14ac:dyDescent="0.3">
      <c r="A48" s="29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7135.5400000000009</v>
      </c>
      <c r="E48" s="1"/>
      <c r="F48" s="5">
        <f t="shared" si="36"/>
        <v>1.0705761619410845</v>
      </c>
      <c r="G48" s="1"/>
      <c r="H48" s="1">
        <f>SUM(OSRRefH22_5x_0)</f>
        <v>9271.99</v>
      </c>
      <c r="I48" s="1"/>
      <c r="J48" s="5">
        <f t="shared" si="37"/>
        <v>11.252415048543689</v>
      </c>
      <c r="K48" s="1"/>
      <c r="L48" s="1">
        <f t="shared" si="38"/>
        <v>-2136.4499999999989</v>
      </c>
      <c r="M48" s="1"/>
      <c r="N48" s="5">
        <f t="shared" si="39"/>
        <v>-0.23041979122065478</v>
      </c>
      <c r="O48" s="14"/>
      <c r="P48" s="1">
        <f>SUM(OSRRefP22_5x_0)</f>
        <v>14271.080000000002</v>
      </c>
      <c r="Q48" s="1"/>
      <c r="R48" s="5">
        <f t="shared" si="40"/>
        <v>2.141152323882169</v>
      </c>
      <c r="S48" s="1"/>
      <c r="T48" s="1">
        <f>SUM(OSRRefT22_5x_0)</f>
        <v>18262.72</v>
      </c>
      <c r="U48" s="1"/>
      <c r="V48" s="5">
        <f t="shared" si="41"/>
        <v>22.163495145631071</v>
      </c>
      <c r="W48" s="1"/>
      <c r="X48" s="1">
        <f t="shared" si="42"/>
        <v>-3991.6399999999994</v>
      </c>
      <c r="Y48" s="1"/>
      <c r="Z48" s="5">
        <f t="shared" si="43"/>
        <v>-0.21856766133412761</v>
      </c>
    </row>
    <row r="49" spans="1:26" s="24" customFormat="1" hidden="1" outlineLevel="2" x14ac:dyDescent="0.3">
      <c r="A49" s="27"/>
      <c r="B49" s="11" t="str">
        <f>CONCATENATE("          ", "6321", " - ", "BUILDING DEPRECIATION")</f>
        <v xml:space="preserve">          6321 - BUILDING DEPRECIATION</v>
      </c>
      <c r="C49" s="11"/>
      <c r="D49" s="7">
        <v>5080.51</v>
      </c>
      <c r="E49" s="2"/>
      <c r="F49" s="8">
        <f t="shared" si="36"/>
        <v>0.76225105549170757</v>
      </c>
      <c r="G49" s="2"/>
      <c r="H49" s="7">
        <v>5080.51</v>
      </c>
      <c r="I49" s="2"/>
      <c r="J49" s="8">
        <f t="shared" si="37"/>
        <v>6.1656674757281555</v>
      </c>
      <c r="K49" s="2"/>
      <c r="L49" s="7">
        <f t="shared" si="38"/>
        <v>0</v>
      </c>
      <c r="M49" s="2"/>
      <c r="N49" s="8">
        <f t="shared" si="39"/>
        <v>0</v>
      </c>
      <c r="O49" s="11"/>
      <c r="P49" s="7">
        <v>10161.02</v>
      </c>
      <c r="Q49" s="2"/>
      <c r="R49" s="8">
        <f t="shared" si="40"/>
        <v>1.5245021109834151</v>
      </c>
      <c r="S49" s="2"/>
      <c r="T49" s="7">
        <v>10161.02</v>
      </c>
      <c r="U49" s="2"/>
      <c r="V49" s="8">
        <f t="shared" si="41"/>
        <v>12.331334951456311</v>
      </c>
      <c r="W49" s="2"/>
      <c r="X49" s="7">
        <f t="shared" si="42"/>
        <v>0</v>
      </c>
      <c r="Y49" s="2"/>
      <c r="Z49" s="8">
        <f t="shared" si="43"/>
        <v>0</v>
      </c>
    </row>
    <row r="50" spans="1:26" s="24" customFormat="1" hidden="1" outlineLevel="2" x14ac:dyDescent="0.3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2055.0300000000002</v>
      </c>
      <c r="E50" s="2"/>
      <c r="F50" s="8">
        <f t="shared" si="36"/>
        <v>0.30832510644937694</v>
      </c>
      <c r="G50" s="2"/>
      <c r="H50" s="7">
        <v>4191.4799999999996</v>
      </c>
      <c r="I50" s="2"/>
      <c r="J50" s="8">
        <f t="shared" si="37"/>
        <v>5.0867475728155336</v>
      </c>
      <c r="K50" s="2"/>
      <c r="L50" s="7">
        <f t="shared" si="38"/>
        <v>-2136.4499999999994</v>
      </c>
      <c r="M50" s="2"/>
      <c r="N50" s="8">
        <f t="shared" si="39"/>
        <v>-0.5097125597640928</v>
      </c>
      <c r="O50" s="11"/>
      <c r="P50" s="7">
        <v>4110.0600000000004</v>
      </c>
      <c r="Q50" s="2"/>
      <c r="R50" s="8">
        <f t="shared" si="40"/>
        <v>0.61665021289875388</v>
      </c>
      <c r="S50" s="2"/>
      <c r="T50" s="7">
        <v>8101.7</v>
      </c>
      <c r="U50" s="2"/>
      <c r="V50" s="8">
        <f t="shared" si="41"/>
        <v>9.8321601941747563</v>
      </c>
      <c r="W50" s="2"/>
      <c r="X50" s="7">
        <f t="shared" si="42"/>
        <v>-3991.6399999999994</v>
      </c>
      <c r="Y50" s="2"/>
      <c r="Z50" s="8">
        <f t="shared" si="43"/>
        <v>-0.49269165730649117</v>
      </c>
    </row>
    <row r="51" spans="1:26" s="28" customFormat="1" outlineLevel="1" collapsed="1" x14ac:dyDescent="0.3">
      <c r="A51" s="29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SUM(OSRRefD22_6x_0)</f>
        <v>0</v>
      </c>
      <c r="E51" s="1"/>
      <c r="F51" s="5">
        <f t="shared" ref="F51:F61" si="44">IF(D$12=0,0,D51/D$12)</f>
        <v>0</v>
      </c>
      <c r="G51" s="1"/>
      <c r="H51" s="1">
        <f>SUM(OSRRefH22_6x_0)</f>
        <v>3.94</v>
      </c>
      <c r="I51" s="1"/>
      <c r="J51" s="5">
        <f t="shared" ref="J51:J61" si="45">IF(H$12=0,0,H51/H$12)</f>
        <v>4.7815533980582522E-3</v>
      </c>
      <c r="K51" s="1"/>
      <c r="L51" s="1">
        <f t="shared" ref="L51:L61" si="46">+D51-H51</f>
        <v>-3.94</v>
      </c>
      <c r="M51" s="1"/>
      <c r="N51" s="5">
        <f t="shared" ref="N51:N61" si="47">IF(H51=0,0,L51/H51)</f>
        <v>-1</v>
      </c>
      <c r="O51" s="14"/>
      <c r="P51" s="1">
        <f>SUM(OSRRefP22_6x_0)</f>
        <v>0</v>
      </c>
      <c r="Q51" s="1"/>
      <c r="R51" s="5">
        <f t="shared" ref="R51:R61" si="48">IF(P$12=0,0,P51/P$12)</f>
        <v>0</v>
      </c>
      <c r="S51" s="1"/>
      <c r="T51" s="1">
        <f>SUM(OSRRefT22_6x_0)</f>
        <v>3.94</v>
      </c>
      <c r="U51" s="1"/>
      <c r="V51" s="5">
        <f t="shared" ref="V51:V61" si="49">IF(T$12=0,0,T51/T$12)</f>
        <v>4.7815533980582522E-3</v>
      </c>
      <c r="W51" s="1"/>
      <c r="X51" s="1">
        <f t="shared" ref="X51:X61" si="50">+P51-T51</f>
        <v>-3.94</v>
      </c>
      <c r="Y51" s="1"/>
      <c r="Z51" s="5">
        <f t="shared" ref="Z51:Z61" si="51">IF(T51=0,0,X51/T51)</f>
        <v>-1</v>
      </c>
    </row>
    <row r="52" spans="1:26" s="24" customFormat="1" hidden="1" outlineLevel="2" x14ac:dyDescent="0.3">
      <c r="A52" s="27"/>
      <c r="B52" s="11" t="str">
        <f>CONCATENATE("          ", "6305", " - ", "FREIGHT OUT")</f>
        <v xml:space="preserve">          6305 - FREIGHT OUT</v>
      </c>
      <c r="C52" s="11"/>
      <c r="D52" s="7"/>
      <c r="E52" s="2"/>
      <c r="F52" s="8">
        <f t="shared" si="44"/>
        <v>0</v>
      </c>
      <c r="G52" s="2"/>
      <c r="H52" s="7">
        <v>3.94</v>
      </c>
      <c r="I52" s="2"/>
      <c r="J52" s="8">
        <f t="shared" si="45"/>
        <v>4.7815533980582522E-3</v>
      </c>
      <c r="K52" s="2"/>
      <c r="L52" s="7">
        <f t="shared" si="46"/>
        <v>-3.94</v>
      </c>
      <c r="M52" s="2"/>
      <c r="N52" s="8">
        <f t="shared" si="47"/>
        <v>-1</v>
      </c>
      <c r="O52" s="11"/>
      <c r="P52" s="7"/>
      <c r="Q52" s="2"/>
      <c r="R52" s="8">
        <f t="shared" si="48"/>
        <v>0</v>
      </c>
      <c r="S52" s="2"/>
      <c r="T52" s="7">
        <v>3.94</v>
      </c>
      <c r="U52" s="2"/>
      <c r="V52" s="8">
        <f t="shared" si="49"/>
        <v>4.7815533980582522E-3</v>
      </c>
      <c r="W52" s="2"/>
      <c r="X52" s="7">
        <f t="shared" si="50"/>
        <v>-3.94</v>
      </c>
      <c r="Y52" s="2"/>
      <c r="Z52" s="8">
        <f t="shared" si="51"/>
        <v>-1</v>
      </c>
    </row>
    <row r="53" spans="1:26" s="28" customFormat="1" outlineLevel="1" collapsed="1" x14ac:dyDescent="0.3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1612</v>
      </c>
      <c r="E53" s="1"/>
      <c r="F53" s="5">
        <f t="shared" si="44"/>
        <v>0.24185538488313824</v>
      </c>
      <c r="G53" s="1"/>
      <c r="H53" s="1">
        <f>SUM(OSRRefH22_7x_0)</f>
        <v>0</v>
      </c>
      <c r="I53" s="1"/>
      <c r="J53" s="5">
        <f t="shared" si="45"/>
        <v>0</v>
      </c>
      <c r="K53" s="1"/>
      <c r="L53" s="1">
        <f t="shared" si="46"/>
        <v>1612</v>
      </c>
      <c r="M53" s="1"/>
      <c r="N53" s="5">
        <f t="shared" si="47"/>
        <v>0</v>
      </c>
      <c r="O53" s="14"/>
      <c r="P53" s="1">
        <f>SUM(OSRRefP22_7x_0)</f>
        <v>1612</v>
      </c>
      <c r="Q53" s="1"/>
      <c r="R53" s="5">
        <f t="shared" si="48"/>
        <v>0.24185538488313824</v>
      </c>
      <c r="S53" s="1"/>
      <c r="T53" s="1">
        <f>SUM(OSRRefT22_7x_0)</f>
        <v>1509.1</v>
      </c>
      <c r="U53" s="1"/>
      <c r="V53" s="5">
        <f t="shared" si="49"/>
        <v>1.8314320388349514</v>
      </c>
      <c r="W53" s="1"/>
      <c r="X53" s="1">
        <f t="shared" si="50"/>
        <v>102.90000000000009</v>
      </c>
      <c r="Y53" s="1"/>
      <c r="Z53" s="5">
        <f t="shared" si="51"/>
        <v>6.8186336226890271E-2</v>
      </c>
    </row>
    <row r="54" spans="1:26" s="24" customFormat="1" hidden="1" outlineLevel="2" x14ac:dyDescent="0.3">
      <c r="A54" s="27"/>
      <c r="B54" s="11" t="str">
        <f>CONCATENATE("          ", "6279", " - ", "GENERAL EXPENSE")</f>
        <v xml:space="preserve">          6279 - GENERAL EXPENSE</v>
      </c>
      <c r="C54" s="11"/>
      <c r="D54" s="7">
        <v>1612</v>
      </c>
      <c r="E54" s="2"/>
      <c r="F54" s="8">
        <f t="shared" si="44"/>
        <v>0.24185538488313824</v>
      </c>
      <c r="G54" s="2"/>
      <c r="H54" s="7"/>
      <c r="I54" s="2"/>
      <c r="J54" s="8">
        <f t="shared" si="45"/>
        <v>0</v>
      </c>
      <c r="K54" s="2"/>
      <c r="L54" s="7">
        <f t="shared" si="46"/>
        <v>1612</v>
      </c>
      <c r="M54" s="2"/>
      <c r="N54" s="8">
        <f t="shared" si="47"/>
        <v>0</v>
      </c>
      <c r="O54" s="11"/>
      <c r="P54" s="7">
        <v>1612</v>
      </c>
      <c r="Q54" s="2"/>
      <c r="R54" s="8">
        <f t="shared" si="48"/>
        <v>0.24185538488313824</v>
      </c>
      <c r="S54" s="2"/>
      <c r="T54" s="7">
        <v>1509.1</v>
      </c>
      <c r="U54" s="2"/>
      <c r="V54" s="8">
        <f t="shared" si="49"/>
        <v>1.8314320388349514</v>
      </c>
      <c r="W54" s="2"/>
      <c r="X54" s="7">
        <f t="shared" si="50"/>
        <v>102.90000000000009</v>
      </c>
      <c r="Y54" s="2"/>
      <c r="Z54" s="8">
        <f t="shared" si="51"/>
        <v>6.8186336226890271E-2</v>
      </c>
    </row>
    <row r="55" spans="1:26" s="28" customFormat="1" outlineLevel="1" collapsed="1" x14ac:dyDescent="0.3">
      <c r="A55" s="29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SUM(OSRRefD22_8x_0)</f>
        <v>331.01</v>
      </c>
      <c r="E55" s="1"/>
      <c r="F55" s="5">
        <f t="shared" si="44"/>
        <v>4.9662872797870711E-2</v>
      </c>
      <c r="G55" s="1"/>
      <c r="H55" s="1">
        <f>SUM(OSRRefH22_8x_0)</f>
        <v>243.54</v>
      </c>
      <c r="I55" s="1"/>
      <c r="J55" s="5">
        <f t="shared" si="45"/>
        <v>0.29555825242718448</v>
      </c>
      <c r="K55" s="1"/>
      <c r="L55" s="1">
        <f t="shared" si="46"/>
        <v>87.47</v>
      </c>
      <c r="M55" s="1"/>
      <c r="N55" s="5">
        <f t="shared" si="47"/>
        <v>0.35916071281924944</v>
      </c>
      <c r="O55" s="14"/>
      <c r="P55" s="1">
        <f>SUM(OSRRefP22_8x_0)</f>
        <v>662.02</v>
      </c>
      <c r="Q55" s="1"/>
      <c r="R55" s="5">
        <f t="shared" si="48"/>
        <v>9.9325745595741421E-2</v>
      </c>
      <c r="S55" s="1"/>
      <c r="T55" s="1">
        <f>SUM(OSRRefT22_8x_0)</f>
        <v>487.08</v>
      </c>
      <c r="U55" s="1"/>
      <c r="V55" s="5">
        <f t="shared" si="49"/>
        <v>0.59111650485436895</v>
      </c>
      <c r="W55" s="1"/>
      <c r="X55" s="1">
        <f t="shared" si="50"/>
        <v>174.94</v>
      </c>
      <c r="Y55" s="1"/>
      <c r="Z55" s="5">
        <f t="shared" si="51"/>
        <v>0.35916071281924944</v>
      </c>
    </row>
    <row r="56" spans="1:26" s="24" customFormat="1" hidden="1" outlineLevel="2" x14ac:dyDescent="0.3">
      <c r="A56" s="27"/>
      <c r="B56" s="11" t="str">
        <f>CONCATENATE("          ", "6314", " - ", "LIABILITY INSURANCE")</f>
        <v xml:space="preserve">          6314 - LIABILITY INSURANCE</v>
      </c>
      <c r="C56" s="11"/>
      <c r="D56" s="7">
        <v>331.01</v>
      </c>
      <c r="E56" s="2"/>
      <c r="F56" s="8">
        <f t="shared" si="44"/>
        <v>4.9662872797870711E-2</v>
      </c>
      <c r="G56" s="2"/>
      <c r="H56" s="7">
        <v>243.54</v>
      </c>
      <c r="I56" s="2"/>
      <c r="J56" s="8">
        <f t="shared" si="45"/>
        <v>0.29555825242718448</v>
      </c>
      <c r="K56" s="2"/>
      <c r="L56" s="7">
        <f t="shared" si="46"/>
        <v>87.47</v>
      </c>
      <c r="M56" s="2"/>
      <c r="N56" s="8">
        <f t="shared" si="47"/>
        <v>0.35916071281924944</v>
      </c>
      <c r="O56" s="11"/>
      <c r="P56" s="7">
        <v>662.02</v>
      </c>
      <c r="Q56" s="2"/>
      <c r="R56" s="8">
        <f t="shared" si="48"/>
        <v>9.9325745595741421E-2</v>
      </c>
      <c r="S56" s="2"/>
      <c r="T56" s="7">
        <v>487.08</v>
      </c>
      <c r="U56" s="2"/>
      <c r="V56" s="8">
        <f t="shared" si="49"/>
        <v>0.59111650485436895</v>
      </c>
      <c r="W56" s="2"/>
      <c r="X56" s="7">
        <f t="shared" si="50"/>
        <v>174.94</v>
      </c>
      <c r="Y56" s="2"/>
      <c r="Z56" s="8">
        <f t="shared" si="51"/>
        <v>0.35916071281924944</v>
      </c>
    </row>
    <row r="57" spans="1:26" s="28" customFormat="1" outlineLevel="1" collapsed="1" x14ac:dyDescent="0.3">
      <c r="A57" s="29"/>
      <c r="B57" s="14" t="str">
        <f>CONCATENATE("     ","Interest                                          ")</f>
        <v xml:space="preserve">     Interest                                          </v>
      </c>
      <c r="C57" s="14"/>
      <c r="D57" s="1">
        <f>SUM(OSRRefD22_9x_0)</f>
        <v>3905</v>
      </c>
      <c r="E57" s="1"/>
      <c r="F57" s="5">
        <f t="shared" si="44"/>
        <v>0.58588416747435157</v>
      </c>
      <c r="G57" s="1"/>
      <c r="H57" s="1">
        <f>SUM(OSRRefH22_9x_0)</f>
        <v>4044</v>
      </c>
      <c r="I57" s="1"/>
      <c r="J57" s="5">
        <f t="shared" si="45"/>
        <v>4.907766990291262</v>
      </c>
      <c r="K57" s="1"/>
      <c r="L57" s="1">
        <f t="shared" si="46"/>
        <v>-139</v>
      </c>
      <c r="M57" s="1"/>
      <c r="N57" s="5">
        <f t="shared" si="47"/>
        <v>-3.4371909000989118E-2</v>
      </c>
      <c r="O57" s="14"/>
      <c r="P57" s="1">
        <f>SUM(OSRRefP22_9x_0)</f>
        <v>7810</v>
      </c>
      <c r="Q57" s="1"/>
      <c r="R57" s="5">
        <f t="shared" si="48"/>
        <v>1.1717683349487031</v>
      </c>
      <c r="S57" s="1"/>
      <c r="T57" s="1">
        <f>SUM(OSRRefT22_9x_0)</f>
        <v>8088</v>
      </c>
      <c r="U57" s="1"/>
      <c r="V57" s="5">
        <f t="shared" si="49"/>
        <v>9.8155339805825239</v>
      </c>
      <c r="W57" s="1"/>
      <c r="X57" s="1">
        <f t="shared" si="50"/>
        <v>-278</v>
      </c>
      <c r="Y57" s="1"/>
      <c r="Z57" s="5">
        <f t="shared" si="51"/>
        <v>-3.4371909000989118E-2</v>
      </c>
    </row>
    <row r="58" spans="1:26" s="24" customFormat="1" hidden="1" outlineLevel="2" x14ac:dyDescent="0.3">
      <c r="A58" s="27"/>
      <c r="B58" s="11" t="str">
        <f>CONCATENATE("          ", "6401", " - ", "INTEREST EXPENSE")</f>
        <v xml:space="preserve">          6401 - INTEREST EXPENSE</v>
      </c>
      <c r="C58" s="11"/>
      <c r="D58" s="7">
        <v>3905</v>
      </c>
      <c r="E58" s="2"/>
      <c r="F58" s="8">
        <f t="shared" si="44"/>
        <v>0.58588416747435157</v>
      </c>
      <c r="G58" s="2"/>
      <c r="H58" s="7">
        <v>4044</v>
      </c>
      <c r="I58" s="2"/>
      <c r="J58" s="8">
        <f t="shared" si="45"/>
        <v>4.907766990291262</v>
      </c>
      <c r="K58" s="2"/>
      <c r="L58" s="7">
        <f t="shared" si="46"/>
        <v>-139</v>
      </c>
      <c r="M58" s="2"/>
      <c r="N58" s="8">
        <f t="shared" si="47"/>
        <v>-3.4371909000989118E-2</v>
      </c>
      <c r="O58" s="11"/>
      <c r="P58" s="7">
        <v>7810</v>
      </c>
      <c r="Q58" s="2"/>
      <c r="R58" s="8">
        <f t="shared" si="48"/>
        <v>1.1717683349487031</v>
      </c>
      <c r="S58" s="2"/>
      <c r="T58" s="7">
        <v>8088</v>
      </c>
      <c r="U58" s="2"/>
      <c r="V58" s="8">
        <f t="shared" si="49"/>
        <v>9.8155339805825239</v>
      </c>
      <c r="W58" s="2"/>
      <c r="X58" s="7">
        <f t="shared" si="50"/>
        <v>-278</v>
      </c>
      <c r="Y58" s="2"/>
      <c r="Z58" s="8">
        <f t="shared" si="51"/>
        <v>-3.4371909000989118E-2</v>
      </c>
    </row>
    <row r="59" spans="1:26" s="28" customFormat="1" outlineLevel="1" collapsed="1" x14ac:dyDescent="0.3">
      <c r="A59" s="29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SUM(OSRRefD22_10x_0)</f>
        <v>1922.99</v>
      </c>
      <c r="E59" s="1"/>
      <c r="F59" s="5">
        <f t="shared" si="44"/>
        <v>0.28851456983649254</v>
      </c>
      <c r="G59" s="1"/>
      <c r="H59" s="1">
        <f>SUM(OSRRefH22_10x_0)</f>
        <v>443.7</v>
      </c>
      <c r="I59" s="1"/>
      <c r="J59" s="5">
        <f t="shared" si="45"/>
        <v>0.53847087378640779</v>
      </c>
      <c r="K59" s="1"/>
      <c r="L59" s="1">
        <f t="shared" si="46"/>
        <v>1479.29</v>
      </c>
      <c r="M59" s="1"/>
      <c r="N59" s="5">
        <f t="shared" si="47"/>
        <v>3.3339869281045753</v>
      </c>
      <c r="O59" s="14"/>
      <c r="P59" s="1">
        <f>SUM(OSRRefP22_10x_0)</f>
        <v>1922.99</v>
      </c>
      <c r="Q59" s="1"/>
      <c r="R59" s="5">
        <f t="shared" si="48"/>
        <v>0.28851456983649254</v>
      </c>
      <c r="S59" s="1"/>
      <c r="T59" s="1">
        <f>SUM(OSRRefT22_10x_0)</f>
        <v>557.70000000000005</v>
      </c>
      <c r="U59" s="1"/>
      <c r="V59" s="5">
        <f t="shared" si="49"/>
        <v>0.67682038834951463</v>
      </c>
      <c r="W59" s="1"/>
      <c r="X59" s="1">
        <f t="shared" si="50"/>
        <v>1365.29</v>
      </c>
      <c r="Y59" s="1"/>
      <c r="Z59" s="5">
        <f t="shared" si="51"/>
        <v>2.4480724403801326</v>
      </c>
    </row>
    <row r="60" spans="1:26" s="24" customFormat="1" hidden="1" outlineLevel="2" x14ac:dyDescent="0.3">
      <c r="A60" s="27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8">
        <f t="shared" si="44"/>
        <v>0</v>
      </c>
      <c r="G60" s="2"/>
      <c r="H60" s="7">
        <v>353.7</v>
      </c>
      <c r="I60" s="2"/>
      <c r="J60" s="8">
        <f t="shared" si="45"/>
        <v>0.42924757281553394</v>
      </c>
      <c r="K60" s="2"/>
      <c r="L60" s="7">
        <f t="shared" si="46"/>
        <v>-353.7</v>
      </c>
      <c r="M60" s="2"/>
      <c r="N60" s="8">
        <f t="shared" si="47"/>
        <v>-1</v>
      </c>
      <c r="O60" s="11"/>
      <c r="P60" s="7"/>
      <c r="Q60" s="2"/>
      <c r="R60" s="8">
        <f t="shared" si="48"/>
        <v>0</v>
      </c>
      <c r="S60" s="2"/>
      <c r="T60" s="7">
        <v>353.7</v>
      </c>
      <c r="U60" s="2"/>
      <c r="V60" s="8">
        <f t="shared" si="49"/>
        <v>0.42924757281553394</v>
      </c>
      <c r="W60" s="2"/>
      <c r="X60" s="7">
        <f t="shared" si="50"/>
        <v>-353.7</v>
      </c>
      <c r="Y60" s="2"/>
      <c r="Z60" s="8">
        <f t="shared" si="51"/>
        <v>-1</v>
      </c>
    </row>
    <row r="61" spans="1:26" s="24" customFormat="1" hidden="1" outlineLevel="2" x14ac:dyDescent="0.3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1922.99</v>
      </c>
      <c r="E61" s="2"/>
      <c r="F61" s="8">
        <f t="shared" si="44"/>
        <v>0.28851456983649254</v>
      </c>
      <c r="G61" s="2"/>
      <c r="H61" s="7">
        <v>90</v>
      </c>
      <c r="I61" s="2"/>
      <c r="J61" s="8">
        <f t="shared" si="45"/>
        <v>0.10922330097087378</v>
      </c>
      <c r="K61" s="2"/>
      <c r="L61" s="7">
        <f t="shared" si="46"/>
        <v>1832.99</v>
      </c>
      <c r="M61" s="2"/>
      <c r="N61" s="8">
        <f t="shared" si="47"/>
        <v>20.366555555555557</v>
      </c>
      <c r="O61" s="11"/>
      <c r="P61" s="7">
        <v>1922.99</v>
      </c>
      <c r="Q61" s="2"/>
      <c r="R61" s="8">
        <f t="shared" si="48"/>
        <v>0.28851456983649254</v>
      </c>
      <c r="S61" s="2"/>
      <c r="T61" s="7">
        <v>204</v>
      </c>
      <c r="U61" s="2"/>
      <c r="V61" s="8">
        <f t="shared" si="49"/>
        <v>0.24757281553398058</v>
      </c>
      <c r="W61" s="2"/>
      <c r="X61" s="7">
        <f t="shared" si="50"/>
        <v>1718.99</v>
      </c>
      <c r="Y61" s="2"/>
      <c r="Z61" s="8">
        <f t="shared" si="51"/>
        <v>8.4264215686274504</v>
      </c>
    </row>
    <row r="62" spans="1:26" s="28" customFormat="1" outlineLevel="1" collapsed="1" x14ac:dyDescent="0.3">
      <c r="A62" s="29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SUM(OSRRefD22_11x_0)</f>
        <v>7775.8899999999994</v>
      </c>
      <c r="E62" s="1"/>
      <c r="F62" s="5">
        <f t="shared" ref="F62:F65" si="52">IF(D$12=0,0,D62/D$12)</f>
        <v>1.1666506630018272</v>
      </c>
      <c r="G62" s="1"/>
      <c r="H62" s="1">
        <f>SUM(OSRRefH22_11x_0)</f>
        <v>-769.16</v>
      </c>
      <c r="I62" s="1"/>
      <c r="J62" s="5">
        <f t="shared" ref="J62:J65" si="53">IF(H$12=0,0,H62/H$12)</f>
        <v>-0.93344660194174756</v>
      </c>
      <c r="K62" s="1"/>
      <c r="L62" s="1">
        <f t="shared" ref="L62:L65" si="54">+D62-H62</f>
        <v>8545.0499999999993</v>
      </c>
      <c r="M62" s="1"/>
      <c r="N62" s="5">
        <f t="shared" ref="N62:N65" si="55">IF(H62=0,0,L62/H62)</f>
        <v>-11.109587082011545</v>
      </c>
      <c r="O62" s="14"/>
      <c r="P62" s="1">
        <f>SUM(OSRRefP22_11x_0)</f>
        <v>7927.74</v>
      </c>
      <c r="Q62" s="1"/>
      <c r="R62" s="5">
        <f t="shared" ref="R62:R65" si="56">IF(P$12=0,0,P62/P$12)</f>
        <v>1.1894333802440757</v>
      </c>
      <c r="S62" s="1"/>
      <c r="T62" s="1">
        <f>SUM(OSRRefT22_11x_0)</f>
        <v>-1573.76</v>
      </c>
      <c r="U62" s="1"/>
      <c r="V62" s="5">
        <f t="shared" ref="V62:V65" si="57">IF(T$12=0,0,T62/T$12)</f>
        <v>-1.9099029126213591</v>
      </c>
      <c r="W62" s="1"/>
      <c r="X62" s="1">
        <f t="shared" ref="X62:X65" si="58">+P62-T62</f>
        <v>9501.5</v>
      </c>
      <c r="Y62" s="1"/>
      <c r="Z62" s="5">
        <f t="shared" ref="Z62:Z65" si="59">IF(T62=0,0,X62/T62)</f>
        <v>-6.0374517080113872</v>
      </c>
    </row>
    <row r="63" spans="1:26" s="24" customFormat="1" hidden="1" outlineLevel="2" x14ac:dyDescent="0.3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7">
        <v>320.25</v>
      </c>
      <c r="E63" s="2"/>
      <c r="F63" s="8">
        <f t="shared" si="52"/>
        <v>4.8048503107211551E-2</v>
      </c>
      <c r="G63" s="2"/>
      <c r="H63" s="7">
        <v>-769.16</v>
      </c>
      <c r="I63" s="2"/>
      <c r="J63" s="8">
        <f t="shared" si="53"/>
        <v>-0.93344660194174756</v>
      </c>
      <c r="K63" s="2"/>
      <c r="L63" s="7">
        <f t="shared" si="54"/>
        <v>1089.4099999999999</v>
      </c>
      <c r="M63" s="2"/>
      <c r="N63" s="8">
        <f t="shared" si="55"/>
        <v>-1.4163633054240989</v>
      </c>
      <c r="O63" s="11"/>
      <c r="P63" s="7">
        <v>472.1</v>
      </c>
      <c r="Q63" s="2"/>
      <c r="R63" s="8">
        <f t="shared" si="56"/>
        <v>7.0831220349460031E-2</v>
      </c>
      <c r="S63" s="2"/>
      <c r="T63" s="7">
        <v>-769.16</v>
      </c>
      <c r="U63" s="2"/>
      <c r="V63" s="8">
        <f t="shared" si="57"/>
        <v>-0.93344660194174756</v>
      </c>
      <c r="W63" s="2"/>
      <c r="X63" s="7">
        <f t="shared" si="58"/>
        <v>1241.26</v>
      </c>
      <c r="Y63" s="2"/>
      <c r="Z63" s="8">
        <f t="shared" si="59"/>
        <v>-1.6137864683550887</v>
      </c>
    </row>
    <row r="64" spans="1:26" s="24" customFormat="1" hidden="1" outlineLevel="2" x14ac:dyDescent="0.3">
      <c r="A64" s="27"/>
      <c r="B64" s="11" t="str">
        <f>CONCATENATE("          ", "6285", " - ", "JANITORIAL SERVICES")</f>
        <v xml:space="preserve">          6285 - JANITORIAL SERVICES</v>
      </c>
      <c r="C64" s="11"/>
      <c r="D64" s="7">
        <v>7403.7</v>
      </c>
      <c r="E64" s="2"/>
      <c r="F64" s="8">
        <f t="shared" si="52"/>
        <v>1.1108093753469543</v>
      </c>
      <c r="G64" s="2"/>
      <c r="H64" s="7"/>
      <c r="I64" s="2"/>
      <c r="J64" s="8">
        <f t="shared" si="53"/>
        <v>0</v>
      </c>
      <c r="K64" s="2"/>
      <c r="L64" s="7">
        <f t="shared" si="54"/>
        <v>7403.7</v>
      </c>
      <c r="M64" s="2"/>
      <c r="N64" s="8">
        <f t="shared" si="55"/>
        <v>0</v>
      </c>
      <c r="O64" s="11"/>
      <c r="P64" s="7">
        <v>7403.7</v>
      </c>
      <c r="Q64" s="2"/>
      <c r="R64" s="8">
        <f t="shared" si="56"/>
        <v>1.1108093753469543</v>
      </c>
      <c r="S64" s="2"/>
      <c r="T64" s="7">
        <v>-804.6</v>
      </c>
      <c r="U64" s="2"/>
      <c r="V64" s="8">
        <f t="shared" si="57"/>
        <v>-0.97645631067961169</v>
      </c>
      <c r="W64" s="2"/>
      <c r="X64" s="7">
        <f t="shared" si="58"/>
        <v>8208.2999999999993</v>
      </c>
      <c r="Y64" s="2"/>
      <c r="Z64" s="8">
        <f t="shared" si="59"/>
        <v>-10.201715137956748</v>
      </c>
    </row>
    <row r="65" spans="1:26" s="24" customFormat="1" hidden="1" outlineLevel="2" x14ac:dyDescent="0.3">
      <c r="A65" s="27"/>
      <c r="B65" s="11" t="str">
        <f>CONCATENATE("          ", "6286", " - ", "LAUNDRY EXPENSE")</f>
        <v xml:space="preserve">          6286 - LAUNDRY EXPENSE</v>
      </c>
      <c r="C65" s="11"/>
      <c r="D65" s="7">
        <v>51.94</v>
      </c>
      <c r="E65" s="2"/>
      <c r="F65" s="8">
        <f t="shared" si="52"/>
        <v>7.7927845476614141E-3</v>
      </c>
      <c r="G65" s="2"/>
      <c r="H65" s="7"/>
      <c r="I65" s="2"/>
      <c r="J65" s="8">
        <f t="shared" si="53"/>
        <v>0</v>
      </c>
      <c r="K65" s="2"/>
      <c r="L65" s="7">
        <f t="shared" si="54"/>
        <v>51.94</v>
      </c>
      <c r="M65" s="2"/>
      <c r="N65" s="8">
        <f t="shared" si="55"/>
        <v>0</v>
      </c>
      <c r="O65" s="11"/>
      <c r="P65" s="7">
        <v>51.94</v>
      </c>
      <c r="Q65" s="2"/>
      <c r="R65" s="8">
        <f t="shared" si="56"/>
        <v>7.7927845476614141E-3</v>
      </c>
      <c r="S65" s="2"/>
      <c r="T65" s="7"/>
      <c r="U65" s="2"/>
      <c r="V65" s="8">
        <f t="shared" si="57"/>
        <v>0</v>
      </c>
      <c r="W65" s="2"/>
      <c r="X65" s="7">
        <f t="shared" si="58"/>
        <v>51.94</v>
      </c>
      <c r="Y65" s="2"/>
      <c r="Z65" s="8">
        <f t="shared" si="59"/>
        <v>0</v>
      </c>
    </row>
    <row r="66" spans="1:26" s="28" customFormat="1" outlineLevel="1" collapsed="1" x14ac:dyDescent="0.3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SUM(OSRRefD22_12x_0)</f>
        <v>730.46</v>
      </c>
      <c r="E66" s="1"/>
      <c r="F66" s="5">
        <f t="shared" ref="F66:F70" si="60">IF(D$12=0,0,D66/D$12)</f>
        <v>0.10959409704822404</v>
      </c>
      <c r="G66" s="1"/>
      <c r="H66" s="1">
        <f>SUM(OSRRefH22_12x_0)</f>
        <v>121.6</v>
      </c>
      <c r="I66" s="1"/>
      <c r="J66" s="5">
        <f t="shared" ref="J66:J70" si="61">IF(H$12=0,0,H66/H$12)</f>
        <v>0.14757281553398058</v>
      </c>
      <c r="K66" s="1"/>
      <c r="L66" s="1">
        <f t="shared" ref="L66:L70" si="62">+D66-H66</f>
        <v>608.86</v>
      </c>
      <c r="M66" s="1"/>
      <c r="N66" s="5">
        <f t="shared" ref="N66:N70" si="63">IF(H66=0,0,L66/H66)</f>
        <v>5.0070723684210527</v>
      </c>
      <c r="O66" s="14"/>
      <c r="P66" s="1">
        <f>SUM(OSRRefP22_12x_0)</f>
        <v>842.7</v>
      </c>
      <c r="Q66" s="1"/>
      <c r="R66" s="5">
        <f t="shared" ref="R66:R70" si="64">IF(P$12=0,0,P66/P$12)</f>
        <v>0.12643395337532295</v>
      </c>
      <c r="S66" s="1"/>
      <c r="T66" s="1">
        <f>SUM(OSRRefT22_12x_0)</f>
        <v>328.87</v>
      </c>
      <c r="U66" s="1"/>
      <c r="V66" s="5">
        <f t="shared" ref="V66:V70" si="65">IF(T$12=0,0,T66/T$12)</f>
        <v>0.39911407766990292</v>
      </c>
      <c r="W66" s="1"/>
      <c r="X66" s="1">
        <f t="shared" ref="X66:X70" si="66">+P66-T66</f>
        <v>513.83000000000004</v>
      </c>
      <c r="Y66" s="1"/>
      <c r="Z66" s="5">
        <f t="shared" ref="Z66:Z70" si="67">IF(T66=0,0,X66/T66)</f>
        <v>1.5624106789916989</v>
      </c>
    </row>
    <row r="67" spans="1:26" s="24" customFormat="1" hidden="1" outlineLevel="2" x14ac:dyDescent="0.3">
      <c r="A67" s="27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8">
        <f t="shared" si="60"/>
        <v>0</v>
      </c>
      <c r="G67" s="2"/>
      <c r="H67" s="7"/>
      <c r="I67" s="2"/>
      <c r="J67" s="8">
        <f t="shared" si="61"/>
        <v>0</v>
      </c>
      <c r="K67" s="2"/>
      <c r="L67" s="7">
        <f t="shared" si="62"/>
        <v>0</v>
      </c>
      <c r="M67" s="2"/>
      <c r="N67" s="8">
        <f t="shared" si="63"/>
        <v>0</v>
      </c>
      <c r="O67" s="11"/>
      <c r="P67" s="7"/>
      <c r="Q67" s="2"/>
      <c r="R67" s="8">
        <f t="shared" si="64"/>
        <v>0</v>
      </c>
      <c r="S67" s="2"/>
      <c r="T67" s="7">
        <v>207.27</v>
      </c>
      <c r="U67" s="2"/>
      <c r="V67" s="8">
        <f t="shared" si="65"/>
        <v>0.25154126213592232</v>
      </c>
      <c r="W67" s="2"/>
      <c r="X67" s="7">
        <f t="shared" si="66"/>
        <v>-207.27</v>
      </c>
      <c r="Y67" s="2"/>
      <c r="Z67" s="8">
        <f t="shared" si="67"/>
        <v>-1</v>
      </c>
    </row>
    <row r="68" spans="1:26" s="24" customFormat="1" hidden="1" outlineLevel="2" x14ac:dyDescent="0.3">
      <c r="A68" s="27"/>
      <c r="B68" s="11" t="str">
        <f>CONCATENATE("          ", "6237", " - ", "JANITORIAL SUPPLIES")</f>
        <v xml:space="preserve">          6237 - JANITORIAL SUPPLIES</v>
      </c>
      <c r="C68" s="11"/>
      <c r="D68" s="7">
        <v>407.96</v>
      </c>
      <c r="E68" s="2"/>
      <c r="F68" s="8">
        <f t="shared" si="60"/>
        <v>6.1208016635809596E-2</v>
      </c>
      <c r="G68" s="2"/>
      <c r="H68" s="7"/>
      <c r="I68" s="2"/>
      <c r="J68" s="8">
        <f t="shared" si="61"/>
        <v>0</v>
      </c>
      <c r="K68" s="2"/>
      <c r="L68" s="7">
        <f t="shared" si="62"/>
        <v>407.96</v>
      </c>
      <c r="M68" s="2"/>
      <c r="N68" s="8">
        <f t="shared" si="63"/>
        <v>0</v>
      </c>
      <c r="O68" s="11"/>
      <c r="P68" s="7">
        <v>407.96</v>
      </c>
      <c r="Q68" s="2"/>
      <c r="R68" s="8">
        <f t="shared" si="64"/>
        <v>6.1208016635809596E-2</v>
      </c>
      <c r="S68" s="2"/>
      <c r="T68" s="7"/>
      <c r="U68" s="2"/>
      <c r="V68" s="8">
        <f t="shared" si="65"/>
        <v>0</v>
      </c>
      <c r="W68" s="2"/>
      <c r="X68" s="7">
        <f t="shared" si="66"/>
        <v>407.96</v>
      </c>
      <c r="Y68" s="2"/>
      <c r="Z68" s="8">
        <f t="shared" si="67"/>
        <v>0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7">
        <v>22.5</v>
      </c>
      <c r="E69" s="2"/>
      <c r="F69" s="8">
        <f t="shared" si="60"/>
        <v>3.3757730520289145E-3</v>
      </c>
      <c r="G69" s="2"/>
      <c r="H69" s="7">
        <v>41.32</v>
      </c>
      <c r="I69" s="2"/>
      <c r="J69" s="8">
        <f t="shared" si="61"/>
        <v>5.0145631067961167E-2</v>
      </c>
      <c r="K69" s="2"/>
      <c r="L69" s="7">
        <f t="shared" si="62"/>
        <v>-18.82</v>
      </c>
      <c r="M69" s="2"/>
      <c r="N69" s="8">
        <f t="shared" si="63"/>
        <v>-0.45546950629235239</v>
      </c>
      <c r="O69" s="11"/>
      <c r="P69" s="7">
        <v>134.74</v>
      </c>
      <c r="Q69" s="2"/>
      <c r="R69" s="8">
        <f t="shared" si="64"/>
        <v>2.0215629379127822E-2</v>
      </c>
      <c r="S69" s="2"/>
      <c r="T69" s="7">
        <v>41.32</v>
      </c>
      <c r="U69" s="2"/>
      <c r="V69" s="8">
        <f t="shared" si="65"/>
        <v>5.0145631067961167E-2</v>
      </c>
      <c r="W69" s="2"/>
      <c r="X69" s="7">
        <f t="shared" si="66"/>
        <v>93.420000000000016</v>
      </c>
      <c r="Y69" s="2"/>
      <c r="Z69" s="8">
        <f t="shared" si="67"/>
        <v>2.2608906098741532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7">
        <v>300</v>
      </c>
      <c r="E70" s="2"/>
      <c r="F70" s="8">
        <f t="shared" si="60"/>
        <v>4.5010307360385526E-2</v>
      </c>
      <c r="G70" s="2"/>
      <c r="H70" s="7">
        <v>80.28</v>
      </c>
      <c r="I70" s="2"/>
      <c r="J70" s="8">
        <f t="shared" si="61"/>
        <v>9.7427184466019418E-2</v>
      </c>
      <c r="K70" s="2"/>
      <c r="L70" s="7">
        <f t="shared" si="62"/>
        <v>219.72</v>
      </c>
      <c r="M70" s="2"/>
      <c r="N70" s="8">
        <f t="shared" si="63"/>
        <v>2.7369207772795217</v>
      </c>
      <c r="O70" s="11"/>
      <c r="P70" s="7">
        <v>300</v>
      </c>
      <c r="Q70" s="2"/>
      <c r="R70" s="8">
        <f t="shared" si="64"/>
        <v>4.5010307360385526E-2</v>
      </c>
      <c r="S70" s="2"/>
      <c r="T70" s="7">
        <v>80.28</v>
      </c>
      <c r="U70" s="2"/>
      <c r="V70" s="8">
        <f t="shared" si="65"/>
        <v>9.7427184466019418E-2</v>
      </c>
      <c r="W70" s="2"/>
      <c r="X70" s="7">
        <f t="shared" si="66"/>
        <v>219.72</v>
      </c>
      <c r="Y70" s="2"/>
      <c r="Z70" s="8">
        <f t="shared" si="67"/>
        <v>2.7369207772795217</v>
      </c>
    </row>
    <row r="71" spans="1:26" s="28" customFormat="1" outlineLevel="1" collapsed="1" x14ac:dyDescent="0.3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SUM(OSRRefD22_13x_0)</f>
        <v>151.19999999999999</v>
      </c>
      <c r="E71" s="1"/>
      <c r="F71" s="5">
        <f t="shared" ref="F71:F74" si="68">IF(D$12=0,0,D71/D$12)</f>
        <v>2.2685194909634304E-2</v>
      </c>
      <c r="G71" s="1"/>
      <c r="H71" s="1">
        <f>SUM(OSRRefH22_13x_0)</f>
        <v>388.56</v>
      </c>
      <c r="I71" s="1"/>
      <c r="J71" s="5">
        <f t="shared" ref="J71:J74" si="69">IF(H$12=0,0,H71/H$12)</f>
        <v>0.47155339805825242</v>
      </c>
      <c r="K71" s="1"/>
      <c r="L71" s="1">
        <f t="shared" ref="L71:L74" si="70">+D71-H71</f>
        <v>-237.36</v>
      </c>
      <c r="M71" s="1"/>
      <c r="N71" s="5">
        <f t="shared" ref="N71:N74" si="71">IF(H71=0,0,L71/H71)</f>
        <v>-0.61087090796788146</v>
      </c>
      <c r="O71" s="14"/>
      <c r="P71" s="1">
        <f>SUM(OSRRefP22_13x_0)</f>
        <v>270</v>
      </c>
      <c r="Q71" s="1"/>
      <c r="R71" s="5">
        <f t="shared" ref="R71:R74" si="72">IF(P$12=0,0,P71/P$12)</f>
        <v>4.0509276624346974E-2</v>
      </c>
      <c r="S71" s="1"/>
      <c r="T71" s="1">
        <f>SUM(OSRRefT22_13x_0)</f>
        <v>777.37</v>
      </c>
      <c r="U71" s="1"/>
      <c r="V71" s="5">
        <f t="shared" ref="V71:V74" si="73">IF(T$12=0,0,T71/T$12)</f>
        <v>0.94341019417475724</v>
      </c>
      <c r="W71" s="1"/>
      <c r="X71" s="1">
        <f t="shared" ref="X71:X74" si="74">+P71-T71</f>
        <v>-507.37</v>
      </c>
      <c r="Y71" s="1"/>
      <c r="Z71" s="5">
        <f t="shared" ref="Z71:Z74" si="75">IF(T71=0,0,X71/T71)</f>
        <v>-0.65267504534520238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7">
        <v>151.19999999999999</v>
      </c>
      <c r="E72" s="2"/>
      <c r="F72" s="8">
        <f t="shared" si="68"/>
        <v>2.2685194909634304E-2</v>
      </c>
      <c r="G72" s="2"/>
      <c r="H72" s="7">
        <v>388.56</v>
      </c>
      <c r="I72" s="2"/>
      <c r="J72" s="8">
        <f t="shared" si="69"/>
        <v>0.47155339805825242</v>
      </c>
      <c r="K72" s="2"/>
      <c r="L72" s="7">
        <f t="shared" si="70"/>
        <v>-237.36</v>
      </c>
      <c r="M72" s="2"/>
      <c r="N72" s="8">
        <f t="shared" si="71"/>
        <v>-0.61087090796788146</v>
      </c>
      <c r="O72" s="11"/>
      <c r="P72" s="7">
        <v>270</v>
      </c>
      <c r="Q72" s="2"/>
      <c r="R72" s="8">
        <f t="shared" si="72"/>
        <v>4.0509276624346974E-2</v>
      </c>
      <c r="S72" s="2"/>
      <c r="T72" s="7">
        <v>777.37</v>
      </c>
      <c r="U72" s="2"/>
      <c r="V72" s="8">
        <f t="shared" si="73"/>
        <v>0.94341019417475724</v>
      </c>
      <c r="W72" s="2"/>
      <c r="X72" s="7">
        <f t="shared" si="74"/>
        <v>-507.37</v>
      </c>
      <c r="Y72" s="2"/>
      <c r="Z72" s="8">
        <f t="shared" si="75"/>
        <v>-0.65267504534520238</v>
      </c>
    </row>
    <row r="73" spans="1:26" s="28" customFormat="1" outlineLevel="1" collapsed="1" x14ac:dyDescent="0.3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SUM(OSRRefD22_14x_0)</f>
        <v>100</v>
      </c>
      <c r="E73" s="1"/>
      <c r="F73" s="5">
        <f t="shared" si="68"/>
        <v>1.5003435786795175E-2</v>
      </c>
      <c r="G73" s="1"/>
      <c r="H73" s="1">
        <f>SUM(OSRRefH22_14x_0)</f>
        <v>50</v>
      </c>
      <c r="I73" s="1"/>
      <c r="J73" s="5">
        <f t="shared" si="69"/>
        <v>6.0679611650485438E-2</v>
      </c>
      <c r="K73" s="1"/>
      <c r="L73" s="1">
        <f t="shared" si="70"/>
        <v>50</v>
      </c>
      <c r="M73" s="1"/>
      <c r="N73" s="5">
        <f t="shared" si="71"/>
        <v>1</v>
      </c>
      <c r="O73" s="14"/>
      <c r="P73" s="1">
        <f>SUM(OSRRefP22_14x_0)</f>
        <v>200</v>
      </c>
      <c r="Q73" s="1"/>
      <c r="R73" s="5">
        <f t="shared" si="72"/>
        <v>3.000687157359035E-2</v>
      </c>
      <c r="S73" s="1"/>
      <c r="T73" s="1">
        <f>SUM(OSRRefT22_14x_0)</f>
        <v>100</v>
      </c>
      <c r="U73" s="1"/>
      <c r="V73" s="5">
        <f t="shared" si="73"/>
        <v>0.12135922330097088</v>
      </c>
      <c r="W73" s="1"/>
      <c r="X73" s="1">
        <f t="shared" si="74"/>
        <v>100</v>
      </c>
      <c r="Y73" s="1"/>
      <c r="Z73" s="5">
        <f t="shared" si="75"/>
        <v>1</v>
      </c>
    </row>
    <row r="74" spans="1:26" s="24" customFormat="1" hidden="1" outlineLevel="2" x14ac:dyDescent="0.3">
      <c r="A74" s="27"/>
      <c r="B74" s="11" t="str">
        <f>CONCATENATE("          ", "6274", " - ", "UTILITIES")</f>
        <v xml:space="preserve">          6274 - UTILITIES</v>
      </c>
      <c r="C74" s="11"/>
      <c r="D74" s="7">
        <v>100</v>
      </c>
      <c r="E74" s="2"/>
      <c r="F74" s="8">
        <f t="shared" si="68"/>
        <v>1.5003435786795175E-2</v>
      </c>
      <c r="G74" s="2"/>
      <c r="H74" s="7">
        <v>50</v>
      </c>
      <c r="I74" s="2"/>
      <c r="J74" s="8">
        <f t="shared" si="69"/>
        <v>6.0679611650485438E-2</v>
      </c>
      <c r="K74" s="2"/>
      <c r="L74" s="7">
        <f t="shared" si="70"/>
        <v>50</v>
      </c>
      <c r="M74" s="2"/>
      <c r="N74" s="8">
        <f t="shared" si="71"/>
        <v>1</v>
      </c>
      <c r="O74" s="11"/>
      <c r="P74" s="7">
        <v>200</v>
      </c>
      <c r="Q74" s="2"/>
      <c r="R74" s="8">
        <f t="shared" si="72"/>
        <v>3.000687157359035E-2</v>
      </c>
      <c r="S74" s="2"/>
      <c r="T74" s="7">
        <v>100</v>
      </c>
      <c r="U74" s="2"/>
      <c r="V74" s="8">
        <f t="shared" si="73"/>
        <v>0.12135922330097088</v>
      </c>
      <c r="W74" s="2"/>
      <c r="X74" s="7">
        <f t="shared" si="74"/>
        <v>100</v>
      </c>
      <c r="Y74" s="2"/>
      <c r="Z74" s="8">
        <f t="shared" si="75"/>
        <v>1</v>
      </c>
    </row>
    <row r="75" spans="1:26" s="61" customFormat="1" x14ac:dyDescent="0.3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3">
      <c r="A76" s="10"/>
      <c r="B76" s="26" t="s">
        <v>292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3">
      <c r="A77" s="9"/>
      <c r="B77" s="10"/>
      <c r="C77" s="10"/>
      <c r="D77" s="3"/>
      <c r="E77" s="3"/>
      <c r="F77" s="6"/>
      <c r="G77" s="3"/>
      <c r="H77" s="3"/>
      <c r="I77" s="3"/>
      <c r="J77" s="6"/>
      <c r="K77" s="3"/>
      <c r="L77" s="3"/>
      <c r="M77" s="3"/>
      <c r="N77" s="6"/>
      <c r="O77" s="10"/>
      <c r="P77" s="3"/>
      <c r="Q77" s="3"/>
      <c r="R77" s="6"/>
      <c r="S77" s="3"/>
      <c r="T77" s="3"/>
      <c r="U77" s="3"/>
      <c r="V77" s="6"/>
      <c r="W77" s="3"/>
      <c r="X77" s="3"/>
      <c r="Y77" s="3"/>
      <c r="Z77" s="6"/>
    </row>
    <row r="78" spans="1:26" s="23" customFormat="1" x14ac:dyDescent="0.3">
      <c r="A78" s="10"/>
      <c r="B78" s="25" t="s">
        <v>276</v>
      </c>
      <c r="C78" s="25"/>
      <c r="D78" s="20">
        <f>+D26-D28+D76</f>
        <v>-24662.84</v>
      </c>
      <c r="E78" s="13"/>
      <c r="F78" s="22">
        <f>IF(D$12=0,0,D78/D$12)</f>
        <v>-3.700273362600035</v>
      </c>
      <c r="G78" s="13"/>
      <c r="H78" s="20">
        <f>+H26-H28+H76</f>
        <v>-27111.89</v>
      </c>
      <c r="I78" s="13"/>
      <c r="J78" s="22">
        <f>IF(H$12=0,0,H78/H$12)</f>
        <v>-32.902779126213595</v>
      </c>
      <c r="K78" s="15"/>
      <c r="L78" s="20">
        <f>+D78-H78</f>
        <v>2449.0499999999993</v>
      </c>
      <c r="M78" s="15"/>
      <c r="N78" s="22">
        <f>IF(H78=0,0,L78/H78)</f>
        <v>-9.0331216303990589E-2</v>
      </c>
      <c r="O78" s="26"/>
      <c r="P78" s="20">
        <f>+P26-P28+P76</f>
        <v>-36592.74</v>
      </c>
      <c r="Q78" s="13"/>
      <c r="R78" s="22">
        <f>IF(P$12=0,0,P78/P$12)</f>
        <v>-5.4901682485289127</v>
      </c>
      <c r="S78" s="13"/>
      <c r="T78" s="20">
        <f>+T26-T28+T76</f>
        <v>-62160.100000000006</v>
      </c>
      <c r="U78" s="13"/>
      <c r="V78" s="22">
        <f>IF(T$12=0,0,T78/T$12)</f>
        <v>-75.4370145631068</v>
      </c>
      <c r="W78" s="15"/>
      <c r="X78" s="20">
        <f>+P78-T78</f>
        <v>25567.360000000008</v>
      </c>
      <c r="Y78" s="15"/>
      <c r="Z78" s="22">
        <f>IF(T78=0,0,X78/T78)</f>
        <v>-0.41131465361220471</v>
      </c>
    </row>
    <row r="79" spans="1:26" x14ac:dyDescent="0.3">
      <c r="A79" s="9"/>
      <c r="B79" s="10"/>
      <c r="C79" s="9"/>
      <c r="D79" s="3"/>
      <c r="E79" s="3"/>
      <c r="F79" s="6"/>
      <c r="G79" s="3"/>
      <c r="H79" s="3"/>
      <c r="I79" s="3"/>
      <c r="J79" s="6"/>
      <c r="K79" s="3"/>
      <c r="L79" s="3"/>
      <c r="M79" s="3"/>
      <c r="N79" s="6"/>
      <c r="P79" s="3"/>
      <c r="Q79" s="3"/>
      <c r="R79" s="6"/>
      <c r="S79" s="3"/>
      <c r="T79" s="3"/>
      <c r="U79" s="3"/>
      <c r="V79" s="6"/>
      <c r="W79" s="3"/>
      <c r="X79" s="3"/>
      <c r="Y79" s="3"/>
      <c r="Z79" s="6"/>
    </row>
    <row r="80" spans="1:26" s="23" customFormat="1" x14ac:dyDescent="0.3">
      <c r="A80" s="51"/>
      <c r="B80" s="10" t="s">
        <v>127</v>
      </c>
      <c r="C80" s="10"/>
      <c r="D80" s="4">
        <v>995.99</v>
      </c>
      <c r="E80" s="4"/>
      <c r="F80" s="12">
        <f>IF(D$12=0,0,D80/D$12)</f>
        <v>0.14943272009290126</v>
      </c>
      <c r="G80" s="4"/>
      <c r="H80" s="4">
        <v>139.12</v>
      </c>
      <c r="I80" s="4"/>
      <c r="J80" s="12">
        <f>IF(H$12=0,0,H80/H$12)</f>
        <v>0.16883495145631069</v>
      </c>
      <c r="K80" s="4"/>
      <c r="L80" s="4">
        <f>+D80-H80</f>
        <v>856.87</v>
      </c>
      <c r="M80" s="4"/>
      <c r="N80" s="12">
        <f>IF(H80=0,0,L80/H80)</f>
        <v>6.1592150661299598</v>
      </c>
      <c r="O80" s="10"/>
      <c r="P80" s="4">
        <v>995.99</v>
      </c>
      <c r="Q80" s="4"/>
      <c r="R80" s="12">
        <f>IF(P$12=0,0,P80/P$12)</f>
        <v>0.14943272009290126</v>
      </c>
      <c r="S80" s="4"/>
      <c r="T80" s="4">
        <v>139.12</v>
      </c>
      <c r="U80" s="4"/>
      <c r="V80" s="12">
        <f>IF(T$12=0,0,T80/T$12)</f>
        <v>0.16883495145631069</v>
      </c>
      <c r="W80" s="4"/>
      <c r="X80" s="4">
        <f>+P80-T80</f>
        <v>856.87</v>
      </c>
      <c r="Y80" s="4"/>
      <c r="Z80" s="12">
        <f>IF(T80=0,0,X80/T80)</f>
        <v>6.1592150661299598</v>
      </c>
    </row>
    <row r="81" spans="1:26" x14ac:dyDescent="0.3">
      <c r="A81" s="9"/>
      <c r="B81" s="10"/>
      <c r="C81" s="10"/>
      <c r="D81" s="3"/>
      <c r="E81" s="3"/>
      <c r="F81" s="6"/>
      <c r="G81" s="3"/>
      <c r="H81" s="3"/>
      <c r="I81" s="3"/>
      <c r="J81" s="6"/>
      <c r="K81" s="3"/>
      <c r="L81" s="3"/>
      <c r="M81" s="3"/>
      <c r="N81" s="6"/>
      <c r="O81" s="10"/>
      <c r="P81" s="3"/>
      <c r="Q81" s="3"/>
      <c r="R81" s="6"/>
      <c r="S81" s="3"/>
      <c r="T81" s="3"/>
      <c r="U81" s="3"/>
      <c r="V81" s="6"/>
      <c r="W81" s="3"/>
      <c r="X81" s="3"/>
      <c r="Y81" s="3"/>
      <c r="Z81" s="6"/>
    </row>
    <row r="82" spans="1:26" s="23" customFormat="1" ht="15" thickBot="1" x14ac:dyDescent="0.35">
      <c r="A82" s="10"/>
      <c r="B82" s="25" t="s">
        <v>125</v>
      </c>
      <c r="C82" s="25"/>
      <c r="D82" s="33">
        <f>+D78-D80</f>
        <v>-25658.83</v>
      </c>
      <c r="E82" s="13"/>
      <c r="F82" s="36">
        <f>IF(D$12=0,0,D82/D$12)</f>
        <v>-3.8497060826929368</v>
      </c>
      <c r="G82" s="13"/>
      <c r="H82" s="33">
        <f>+H78-H80</f>
        <v>-27251.01</v>
      </c>
      <c r="I82" s="13"/>
      <c r="J82" s="36">
        <f>IF(H$12=0,0,H82/H$12)</f>
        <v>-33.071614077669899</v>
      </c>
      <c r="K82" s="15"/>
      <c r="L82" s="33">
        <f>D82-H82</f>
        <v>1592.1799999999967</v>
      </c>
      <c r="M82" s="15"/>
      <c r="N82" s="36">
        <f>IF(H82=0,0,L82/H82)</f>
        <v>-5.8426458322095101E-2</v>
      </c>
      <c r="O82" s="26"/>
      <c r="P82" s="33">
        <f>+P78-P80</f>
        <v>-37588.729999999996</v>
      </c>
      <c r="Q82" s="13"/>
      <c r="R82" s="36">
        <f>IF(P$12=0,0,P82/P$12)</f>
        <v>-5.6396009686218136</v>
      </c>
      <c r="S82" s="13"/>
      <c r="T82" s="33">
        <f>+T78-T80</f>
        <v>-62299.220000000008</v>
      </c>
      <c r="U82" s="13"/>
      <c r="V82" s="36">
        <f>IF(T$12=0,0,T82/T$12)</f>
        <v>-75.605849514563118</v>
      </c>
      <c r="W82" s="15"/>
      <c r="X82" s="33">
        <f>P82-T82</f>
        <v>24710.490000000013</v>
      </c>
      <c r="Y82" s="15"/>
      <c r="Z82" s="36">
        <f>IF(T82=0,0,X82/T82)</f>
        <v>-0.39664204463555097</v>
      </c>
    </row>
    <row r="83" spans="1:26" ht="15" thickTop="1" x14ac:dyDescent="0.3">
      <c r="A83" s="9"/>
      <c r="B83" s="9"/>
      <c r="C83" s="9"/>
      <c r="D83" s="3"/>
      <c r="E83" s="3"/>
      <c r="F83" s="6"/>
      <c r="G83" s="3"/>
      <c r="H83" s="3"/>
      <c r="I83" s="3"/>
      <c r="J83" s="6"/>
      <c r="K83" s="3"/>
      <c r="L83" s="3"/>
      <c r="M83" s="3"/>
      <c r="N83" s="6"/>
      <c r="P83" s="3"/>
      <c r="Q83" s="3"/>
      <c r="R83" s="6"/>
      <c r="S83" s="3"/>
      <c r="T83" s="3"/>
      <c r="U83" s="3"/>
      <c r="V83" s="6"/>
      <c r="W83" s="3"/>
      <c r="X83" s="3"/>
      <c r="Y83" s="3"/>
      <c r="Z83" s="6"/>
    </row>
    <row r="84" spans="1:26" x14ac:dyDescent="0.3">
      <c r="A84" s="9"/>
      <c r="B84" s="9"/>
      <c r="C84" s="9"/>
      <c r="D84" s="3"/>
      <c r="E84" s="3"/>
      <c r="F84" s="6"/>
      <c r="G84" s="3"/>
      <c r="H84" s="3"/>
      <c r="I84" s="3"/>
      <c r="J84" s="6"/>
      <c r="K84" s="3"/>
      <c r="L84" s="3"/>
      <c r="M84" s="3"/>
      <c r="N84" s="6"/>
      <c r="P84" s="3"/>
      <c r="Q84" s="3"/>
      <c r="R84" s="6"/>
      <c r="S84" s="3"/>
      <c r="T84" s="3"/>
      <c r="U84" s="3"/>
      <c r="V84" s="6"/>
      <c r="W84" s="3"/>
      <c r="X84" s="3"/>
      <c r="Y84" s="3"/>
      <c r="Z84" s="6"/>
    </row>
    <row r="85" spans="1:26" s="23" customFormat="1" ht="15" thickBot="1" x14ac:dyDescent="0.35">
      <c r="A85" s="10"/>
      <c r="B85" s="25" t="s">
        <v>293</v>
      </c>
      <c r="C85" s="25"/>
      <c r="D85" s="30">
        <f>SUM(D82:D84)</f>
        <v>-25658.83</v>
      </c>
      <c r="E85" s="13"/>
      <c r="F85" s="31">
        <f>IF(D$12=0,0,D85/D$12)</f>
        <v>-3.8497060826929368</v>
      </c>
      <c r="G85" s="13"/>
      <c r="H85" s="30">
        <f>SUM(H82:H84)</f>
        <v>-27251.01</v>
      </c>
      <c r="I85" s="13"/>
      <c r="J85" s="31">
        <f>IF(H$12=0,0,H85/H$12)</f>
        <v>-33.071614077669899</v>
      </c>
      <c r="K85" s="15"/>
      <c r="L85" s="30">
        <f>+D85-H85</f>
        <v>1592.1799999999967</v>
      </c>
      <c r="M85" s="15"/>
      <c r="N85" s="31">
        <f>IF(H85=0,0,L85/H85)</f>
        <v>-5.8426458322095101E-2</v>
      </c>
      <c r="O85" s="26"/>
      <c r="P85" s="30">
        <f>SUM(P82:P84)</f>
        <v>-37588.729999999996</v>
      </c>
      <c r="Q85" s="13"/>
      <c r="R85" s="31">
        <f>IF(P$12=0,0,P85/P$12)</f>
        <v>-5.6396009686218136</v>
      </c>
      <c r="S85" s="13"/>
      <c r="T85" s="30">
        <f>SUM(T82:T84)</f>
        <v>-62299.220000000008</v>
      </c>
      <c r="U85" s="13"/>
      <c r="V85" s="31">
        <f>IF(T$12=0,0,T85/T$12)</f>
        <v>-75.605849514563118</v>
      </c>
      <c r="W85" s="15"/>
      <c r="X85" s="30">
        <f>+P85-T85</f>
        <v>24710.490000000013</v>
      </c>
      <c r="Y85" s="15"/>
      <c r="Z85" s="31">
        <f>IF(T85=0,0,X85/T85)</f>
        <v>-0.39664204463555097</v>
      </c>
    </row>
    <row r="86" spans="1:26" ht="15" thickTop="1" x14ac:dyDescent="0.3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A87" s="9"/>
      <c r="B87" s="59">
        <v>44470.84047638889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8" t="s">
        <v>56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52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","309", " - ", "Carts")</f>
        <v>Department 309 - Carts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893.71</v>
      </c>
      <c r="E18" s="21"/>
      <c r="F18" s="32">
        <f t="shared" ref="F18:F23" si="0">IF(D$12=0,0,D18/D$12)</f>
        <v>0</v>
      </c>
      <c r="G18" s="21"/>
      <c r="H18" s="21">
        <f>SUM(OSRRefH22x_0)</f>
        <v>603.72</v>
      </c>
      <c r="I18" s="21"/>
      <c r="J18" s="32">
        <f t="shared" ref="J18:J23" si="1">IF(H$12=0,0,H18/H$12)</f>
        <v>0</v>
      </c>
      <c r="K18" s="4"/>
      <c r="L18" s="21">
        <f t="shared" ref="L18:L23" si="2">+D18-H18</f>
        <v>289.99</v>
      </c>
      <c r="M18" s="4"/>
      <c r="N18" s="32">
        <f t="shared" ref="N18:N23" si="3">IF(H18=0,0,L18/H18)</f>
        <v>0.48033856754786985</v>
      </c>
      <c r="O18" s="10"/>
      <c r="P18" s="21">
        <f>SUM(OSRRefP22x_0)</f>
        <v>1664.5000000000002</v>
      </c>
      <c r="Q18" s="21"/>
      <c r="R18" s="32">
        <f t="shared" ref="R18:R23" si="4">IF(P$12=0,0,P18/P$12)</f>
        <v>0</v>
      </c>
      <c r="S18" s="21"/>
      <c r="T18" s="21">
        <f>SUM(OSRRefT22x_0)</f>
        <v>951.12</v>
      </c>
      <c r="U18" s="21"/>
      <c r="V18" s="32">
        <f t="shared" ref="V18:V23" si="5">IF(T$12=0,0,T18/T$12)</f>
        <v>0</v>
      </c>
      <c r="W18" s="4"/>
      <c r="X18" s="21">
        <f t="shared" ref="X18:X23" si="6">+P18-T18</f>
        <v>713.38000000000022</v>
      </c>
      <c r="Y18" s="4"/>
      <c r="Z18" s="32">
        <f t="shared" ref="Z18:Z23" si="7">IF(T18=0,0,X18/T18)</f>
        <v>0.75004205568172289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596.69000000000005</v>
      </c>
      <c r="I19" s="1"/>
      <c r="J19" s="5">
        <f t="shared" si="1"/>
        <v>0</v>
      </c>
      <c r="K19" s="1"/>
      <c r="L19" s="1">
        <f t="shared" si="2"/>
        <v>-7.75</v>
      </c>
      <c r="M19" s="1"/>
      <c r="N19" s="5">
        <f t="shared" si="3"/>
        <v>-1.2988318892557273E-2</v>
      </c>
      <c r="O19" s="14"/>
      <c r="P19" s="1">
        <f>SUM(OSRRefP22_0x_0)</f>
        <v>1177.8800000000001</v>
      </c>
      <c r="Q19" s="1"/>
      <c r="R19" s="5">
        <f t="shared" si="4"/>
        <v>0</v>
      </c>
      <c r="S19" s="1"/>
      <c r="T19" s="1">
        <f>SUM(OSRRefT22_0x_0)</f>
        <v>912.12</v>
      </c>
      <c r="U19" s="1"/>
      <c r="V19" s="5">
        <f t="shared" si="5"/>
        <v>0</v>
      </c>
      <c r="W19" s="1"/>
      <c r="X19" s="1">
        <f t="shared" si="6"/>
        <v>265.7600000000001</v>
      </c>
      <c r="Y19" s="1"/>
      <c r="Z19" s="5">
        <f t="shared" si="7"/>
        <v>0.29136517124939715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588.94000000000005</v>
      </c>
      <c r="E20" s="2"/>
      <c r="F20" s="8">
        <f t="shared" si="0"/>
        <v>0</v>
      </c>
      <c r="G20" s="2"/>
      <c r="H20" s="7">
        <v>596.69000000000005</v>
      </c>
      <c r="I20" s="2"/>
      <c r="J20" s="8">
        <f t="shared" si="1"/>
        <v>0</v>
      </c>
      <c r="K20" s="2"/>
      <c r="L20" s="7">
        <f t="shared" si="2"/>
        <v>-7.75</v>
      </c>
      <c r="M20" s="2"/>
      <c r="N20" s="8">
        <f t="shared" si="3"/>
        <v>-1.2988318892557273E-2</v>
      </c>
      <c r="O20" s="11"/>
      <c r="P20" s="7">
        <v>1177.8800000000001</v>
      </c>
      <c r="Q20" s="2"/>
      <c r="R20" s="8">
        <f t="shared" si="4"/>
        <v>0</v>
      </c>
      <c r="S20" s="2"/>
      <c r="T20" s="7">
        <v>912.12</v>
      </c>
      <c r="U20" s="2"/>
      <c r="V20" s="8">
        <f t="shared" si="5"/>
        <v>0</v>
      </c>
      <c r="W20" s="2"/>
      <c r="X20" s="7">
        <f t="shared" si="6"/>
        <v>265.7600000000001</v>
      </c>
      <c r="Y20" s="2"/>
      <c r="Z20" s="8">
        <f t="shared" si="7"/>
        <v>0.29136517124939715</v>
      </c>
    </row>
    <row r="21" spans="1:26" s="28" customFormat="1" outlineLevel="1" collapsed="1" x14ac:dyDescent="0.3">
      <c r="A21" s="29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117.9</v>
      </c>
      <c r="I21" s="1"/>
      <c r="J21" s="5">
        <f t="shared" si="1"/>
        <v>0</v>
      </c>
      <c r="K21" s="1"/>
      <c r="L21" s="1">
        <f t="shared" si="2"/>
        <v>-117.9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231.9</v>
      </c>
      <c r="U21" s="1"/>
      <c r="V21" s="5">
        <f t="shared" si="5"/>
        <v>0</v>
      </c>
      <c r="W21" s="1"/>
      <c r="X21" s="1">
        <f t="shared" si="6"/>
        <v>-231.9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"6373", " - ", "MAINTENANCE CONTRACTS")</f>
        <v xml:space="preserve">          6373 - MAINTENANCE CONTRACTS</v>
      </c>
      <c r="C22" s="11"/>
      <c r="D22" s="7"/>
      <c r="E22" s="2"/>
      <c r="F22" s="8">
        <f t="shared" si="0"/>
        <v>0</v>
      </c>
      <c r="G22" s="2"/>
      <c r="H22" s="7">
        <v>117.9</v>
      </c>
      <c r="I22" s="2"/>
      <c r="J22" s="8">
        <f t="shared" si="1"/>
        <v>0</v>
      </c>
      <c r="K22" s="2"/>
      <c r="L22" s="7">
        <f t="shared" si="2"/>
        <v>-117.9</v>
      </c>
      <c r="M22" s="2"/>
      <c r="N22" s="8">
        <f t="shared" si="3"/>
        <v>-1</v>
      </c>
      <c r="O22" s="11"/>
      <c r="P22" s="7"/>
      <c r="Q22" s="2"/>
      <c r="R22" s="8">
        <f t="shared" si="4"/>
        <v>0</v>
      </c>
      <c r="S22" s="2"/>
      <c r="T22" s="7">
        <v>117.9</v>
      </c>
      <c r="U22" s="2"/>
      <c r="V22" s="8">
        <f t="shared" si="5"/>
        <v>0</v>
      </c>
      <c r="W22" s="2"/>
      <c r="X22" s="7">
        <f t="shared" si="6"/>
        <v>-117.9</v>
      </c>
      <c r="Y22" s="2"/>
      <c r="Z22" s="8">
        <f t="shared" si="7"/>
        <v>-1</v>
      </c>
    </row>
    <row r="23" spans="1:26" s="24" customFormat="1" hidden="1" outlineLevel="2" x14ac:dyDescent="0.3">
      <c r="A23" s="27"/>
      <c r="B23" s="11" t="str">
        <f>CONCATENATE("          ", "6375", " - ", "OUTSIDE REPAIRS &amp; MAINTENANCE")</f>
        <v xml:space="preserve">          6375 - OUTSIDE REPAIRS &amp; MAINTENANCE</v>
      </c>
      <c r="C23" s="11"/>
      <c r="D23" s="7"/>
      <c r="E23" s="2"/>
      <c r="F23" s="8">
        <f t="shared" si="0"/>
        <v>0</v>
      </c>
      <c r="G23" s="2"/>
      <c r="H23" s="7"/>
      <c r="I23" s="2"/>
      <c r="J23" s="8">
        <f t="shared" si="1"/>
        <v>0</v>
      </c>
      <c r="K23" s="2"/>
      <c r="L23" s="7">
        <f t="shared" si="2"/>
        <v>0</v>
      </c>
      <c r="M23" s="2"/>
      <c r="N23" s="8">
        <f t="shared" si="3"/>
        <v>0</v>
      </c>
      <c r="O23" s="11"/>
      <c r="P23" s="7"/>
      <c r="Q23" s="2"/>
      <c r="R23" s="8">
        <f t="shared" si="4"/>
        <v>0</v>
      </c>
      <c r="S23" s="2"/>
      <c r="T23" s="7">
        <v>114</v>
      </c>
      <c r="U23" s="2"/>
      <c r="V23" s="8">
        <f t="shared" si="5"/>
        <v>0</v>
      </c>
      <c r="W23" s="2"/>
      <c r="X23" s="7">
        <f t="shared" si="6"/>
        <v>-114</v>
      </c>
      <c r="Y23" s="2"/>
      <c r="Z23" s="8">
        <f t="shared" si="7"/>
        <v>-1</v>
      </c>
    </row>
    <row r="24" spans="1:26" s="28" customFormat="1" outlineLevel="1" collapsed="1" x14ac:dyDescent="0.3">
      <c r="A24" s="29"/>
      <c r="B24" s="14" t="str">
        <f>CONCATENATE("     ","Services                                          ")</f>
        <v xml:space="preserve">     Services                                          </v>
      </c>
      <c r="C24" s="14"/>
      <c r="D24" s="1">
        <f>SUM(OSRRefD22_2x_0)</f>
        <v>274.77</v>
      </c>
      <c r="E24" s="1"/>
      <c r="F24" s="5">
        <f t="shared" ref="F24:F26" si="8">IF(D$12=0,0,D24/D$12)</f>
        <v>0</v>
      </c>
      <c r="G24" s="1"/>
      <c r="H24" s="1">
        <f>SUM(OSRRefH22_2x_0)</f>
        <v>-201.88</v>
      </c>
      <c r="I24" s="1"/>
      <c r="J24" s="5">
        <f t="shared" ref="J24:J26" si="9">IF(H$12=0,0,H24/H$12)</f>
        <v>0</v>
      </c>
      <c r="K24" s="1"/>
      <c r="L24" s="1">
        <f t="shared" ref="L24:L26" si="10">+D24-H24</f>
        <v>476.65</v>
      </c>
      <c r="M24" s="1"/>
      <c r="N24" s="5">
        <f t="shared" ref="N24:N26" si="11">IF(H24=0,0,L24/H24)</f>
        <v>-2.3610560729146028</v>
      </c>
      <c r="O24" s="14"/>
      <c r="P24" s="1">
        <f>SUM(OSRRefP22_2x_0)</f>
        <v>426.62</v>
      </c>
      <c r="Q24" s="1"/>
      <c r="R24" s="5">
        <f t="shared" ref="R24:R26" si="12">IF(P$12=0,0,P24/P$12)</f>
        <v>0</v>
      </c>
      <c r="S24" s="1"/>
      <c r="T24" s="1">
        <f>SUM(OSRRefT22_2x_0)</f>
        <v>-374.91999999999996</v>
      </c>
      <c r="U24" s="1"/>
      <c r="V24" s="5">
        <f t="shared" ref="V24:V26" si="13">IF(T$12=0,0,T24/T$12)</f>
        <v>0</v>
      </c>
      <c r="W24" s="1"/>
      <c r="X24" s="1">
        <f t="shared" ref="X24:X26" si="14">+P24-T24</f>
        <v>801.54</v>
      </c>
      <c r="Y24" s="1"/>
      <c r="Z24" s="5">
        <f t="shared" ref="Z24:Z26" si="15">IF(T24=0,0,X24/T24)</f>
        <v>-2.1378960844980264</v>
      </c>
    </row>
    <row r="25" spans="1:26" s="24" customFormat="1" hidden="1" outlineLevel="2" x14ac:dyDescent="0.3">
      <c r="A25" s="27"/>
      <c r="B25" s="11" t="str">
        <f>CONCATENATE("          ", "6282", " - ", "JANITORIAL/EXTERMINATOR EXPENS")</f>
        <v xml:space="preserve">          6282 - JANITORIAL/EXTERMINATOR EXPENS</v>
      </c>
      <c r="C25" s="11"/>
      <c r="D25" s="7">
        <v>151.85</v>
      </c>
      <c r="E25" s="2"/>
      <c r="F25" s="8">
        <f t="shared" si="8"/>
        <v>0</v>
      </c>
      <c r="G25" s="2"/>
      <c r="H25" s="7">
        <v>-201.88</v>
      </c>
      <c r="I25" s="2"/>
      <c r="J25" s="8">
        <f t="shared" si="9"/>
        <v>0</v>
      </c>
      <c r="K25" s="2"/>
      <c r="L25" s="7">
        <f t="shared" si="10"/>
        <v>353.73</v>
      </c>
      <c r="M25" s="2"/>
      <c r="N25" s="8">
        <f t="shared" si="11"/>
        <v>-1.7521795125817319</v>
      </c>
      <c r="O25" s="11"/>
      <c r="P25" s="7">
        <v>303.7</v>
      </c>
      <c r="Q25" s="2"/>
      <c r="R25" s="8">
        <f t="shared" si="12"/>
        <v>0</v>
      </c>
      <c r="S25" s="2"/>
      <c r="T25" s="7">
        <v>-201.88</v>
      </c>
      <c r="U25" s="2"/>
      <c r="V25" s="8">
        <f t="shared" si="13"/>
        <v>0</v>
      </c>
      <c r="W25" s="2"/>
      <c r="X25" s="7">
        <f t="shared" si="14"/>
        <v>505.58</v>
      </c>
      <c r="Y25" s="2"/>
      <c r="Z25" s="8">
        <f t="shared" si="15"/>
        <v>-2.5043590251634633</v>
      </c>
    </row>
    <row r="26" spans="1:26" s="24" customFormat="1" hidden="1" outlineLevel="2" x14ac:dyDescent="0.3">
      <c r="A26" s="27"/>
      <c r="B26" s="11" t="str">
        <f>CONCATENATE("          ", "6285", " - ", "JANITORIAL SERVICES")</f>
        <v xml:space="preserve">          6285 - JANITORIAL SERVICES</v>
      </c>
      <c r="C26" s="11"/>
      <c r="D26" s="7">
        <v>122.92</v>
      </c>
      <c r="E26" s="2"/>
      <c r="F26" s="8">
        <f t="shared" si="8"/>
        <v>0</v>
      </c>
      <c r="G26" s="2"/>
      <c r="H26" s="7"/>
      <c r="I26" s="2"/>
      <c r="J26" s="8">
        <f t="shared" si="9"/>
        <v>0</v>
      </c>
      <c r="K26" s="2"/>
      <c r="L26" s="7">
        <f t="shared" si="10"/>
        <v>122.92</v>
      </c>
      <c r="M26" s="2"/>
      <c r="N26" s="8">
        <f t="shared" si="11"/>
        <v>0</v>
      </c>
      <c r="O26" s="11"/>
      <c r="P26" s="7">
        <v>122.92</v>
      </c>
      <c r="Q26" s="2"/>
      <c r="R26" s="8">
        <f t="shared" si="12"/>
        <v>0</v>
      </c>
      <c r="S26" s="2"/>
      <c r="T26" s="7">
        <v>-173.04</v>
      </c>
      <c r="U26" s="2"/>
      <c r="V26" s="8">
        <f t="shared" si="13"/>
        <v>0</v>
      </c>
      <c r="W26" s="2"/>
      <c r="X26" s="7">
        <f t="shared" si="14"/>
        <v>295.95999999999998</v>
      </c>
      <c r="Y26" s="2"/>
      <c r="Z26" s="8">
        <f t="shared" si="15"/>
        <v>-1.7103559870550162</v>
      </c>
    </row>
    <row r="27" spans="1:26" s="28" customFormat="1" outlineLevel="1" collapsed="1" x14ac:dyDescent="0.3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SUM(OSRRefD22_3x_0)</f>
        <v>30</v>
      </c>
      <c r="E27" s="1"/>
      <c r="F27" s="5">
        <f t="shared" ref="F27:F28" si="16">IF(D$12=0,0,D27/D$12)</f>
        <v>0</v>
      </c>
      <c r="G27" s="1"/>
      <c r="H27" s="1">
        <f>SUM(OSRRefH22_3x_0)</f>
        <v>91.01</v>
      </c>
      <c r="I27" s="1"/>
      <c r="J27" s="5">
        <f t="shared" ref="J27:J28" si="17">IF(H$12=0,0,H27/H$12)</f>
        <v>0</v>
      </c>
      <c r="K27" s="1"/>
      <c r="L27" s="1">
        <f t="shared" ref="L27:L28" si="18">+D27-H27</f>
        <v>-61.010000000000005</v>
      </c>
      <c r="M27" s="1"/>
      <c r="N27" s="5">
        <f t="shared" ref="N27:N28" si="19">IF(H27=0,0,L27/H27)</f>
        <v>-0.67036589385781786</v>
      </c>
      <c r="O27" s="14"/>
      <c r="P27" s="1">
        <f>SUM(OSRRefP22_3x_0)</f>
        <v>60</v>
      </c>
      <c r="Q27" s="1"/>
      <c r="R27" s="5">
        <f t="shared" ref="R27:R28" si="20">IF(P$12=0,0,P27/P$12)</f>
        <v>0</v>
      </c>
      <c r="S27" s="1"/>
      <c r="T27" s="1">
        <f>SUM(OSRRefT22_3x_0)</f>
        <v>182.02</v>
      </c>
      <c r="U27" s="1"/>
      <c r="V27" s="5">
        <f t="shared" ref="V27:V28" si="21">IF(T$12=0,0,T27/T$12)</f>
        <v>0</v>
      </c>
      <c r="W27" s="1"/>
      <c r="X27" s="1">
        <f t="shared" ref="X27:X28" si="22">+P27-T27</f>
        <v>-122.02000000000001</v>
      </c>
      <c r="Y27" s="1"/>
      <c r="Z27" s="5">
        <f t="shared" ref="Z27:Z28" si="23">IF(T27=0,0,X27/T27)</f>
        <v>-0.67036589385781786</v>
      </c>
    </row>
    <row r="28" spans="1:26" s="24" customFormat="1" hidden="1" outlineLevel="2" x14ac:dyDescent="0.3">
      <c r="A28" s="27"/>
      <c r="B28" s="11" t="str">
        <f>CONCATENATE("          ", "6309", " - ", "TELEPHONE")</f>
        <v xml:space="preserve">          6309 - TELEPHONE</v>
      </c>
      <c r="C28" s="11"/>
      <c r="D28" s="7">
        <v>30</v>
      </c>
      <c r="E28" s="2"/>
      <c r="F28" s="8">
        <f t="shared" si="16"/>
        <v>0</v>
      </c>
      <c r="G28" s="2"/>
      <c r="H28" s="7">
        <v>91.01</v>
      </c>
      <c r="I28" s="2"/>
      <c r="J28" s="8">
        <f t="shared" si="17"/>
        <v>0</v>
      </c>
      <c r="K28" s="2"/>
      <c r="L28" s="7">
        <f t="shared" si="18"/>
        <v>-61.010000000000005</v>
      </c>
      <c r="M28" s="2"/>
      <c r="N28" s="8">
        <f t="shared" si="19"/>
        <v>-0.67036589385781786</v>
      </c>
      <c r="O28" s="11"/>
      <c r="P28" s="7">
        <v>60</v>
      </c>
      <c r="Q28" s="2"/>
      <c r="R28" s="8">
        <f t="shared" si="20"/>
        <v>0</v>
      </c>
      <c r="S28" s="2"/>
      <c r="T28" s="7">
        <v>182.02</v>
      </c>
      <c r="U28" s="2"/>
      <c r="V28" s="8">
        <f t="shared" si="21"/>
        <v>0</v>
      </c>
      <c r="W28" s="2"/>
      <c r="X28" s="7">
        <f t="shared" si="22"/>
        <v>-122.02000000000001</v>
      </c>
      <c r="Y28" s="2"/>
      <c r="Z28" s="8">
        <f t="shared" si="23"/>
        <v>-0.67036589385781786</v>
      </c>
    </row>
    <row r="29" spans="1:26" s="61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O31" s="10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10"/>
      <c r="B32" s="25" t="s">
        <v>276</v>
      </c>
      <c r="C32" s="25"/>
      <c r="D32" s="20">
        <f>+D16-D18+D30</f>
        <v>-893.71</v>
      </c>
      <c r="E32" s="13"/>
      <c r="F32" s="22">
        <f>IF(D$12=0,0,D32/D$12)</f>
        <v>0</v>
      </c>
      <c r="G32" s="13"/>
      <c r="H32" s="20">
        <f>+H16-H18+H30</f>
        <v>-603.72</v>
      </c>
      <c r="I32" s="13"/>
      <c r="J32" s="22">
        <f>IF(H$12=0,0,H32/H$12)</f>
        <v>0</v>
      </c>
      <c r="K32" s="15"/>
      <c r="L32" s="20">
        <f>+D32-H32</f>
        <v>-289.99</v>
      </c>
      <c r="M32" s="15"/>
      <c r="N32" s="22">
        <f>IF(H32=0,0,L32/H32)</f>
        <v>0.48033856754786985</v>
      </c>
      <c r="O32" s="26"/>
      <c r="P32" s="20">
        <f>+P16-P18+P30</f>
        <v>-1664.5000000000002</v>
      </c>
      <c r="Q32" s="13"/>
      <c r="R32" s="22">
        <f>IF(P$12=0,0,P32/P$12)</f>
        <v>0</v>
      </c>
      <c r="S32" s="13"/>
      <c r="T32" s="20">
        <f>+T16-T18+T30</f>
        <v>-951.12</v>
      </c>
      <c r="U32" s="13"/>
      <c r="V32" s="22">
        <f>IF(T$12=0,0,T32/T$12)</f>
        <v>0</v>
      </c>
      <c r="W32" s="15"/>
      <c r="X32" s="20">
        <f>+P32-T32</f>
        <v>-713.38000000000022</v>
      </c>
      <c r="Y32" s="15"/>
      <c r="Z32" s="22">
        <f>IF(T32=0,0,X32/T32)</f>
        <v>0.75004205568172289</v>
      </c>
    </row>
    <row r="33" spans="1:26" x14ac:dyDescent="0.3">
      <c r="A33" s="9"/>
      <c r="B33" s="10"/>
      <c r="C33" s="9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O35" s="10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125</v>
      </c>
      <c r="C36" s="25"/>
      <c r="D36" s="33">
        <f>+D32-D34</f>
        <v>-893.71</v>
      </c>
      <c r="E36" s="13"/>
      <c r="F36" s="36">
        <f>IF(D$12=0,0,D36/D$12)</f>
        <v>0</v>
      </c>
      <c r="G36" s="13"/>
      <c r="H36" s="33">
        <f>+H32-H34</f>
        <v>-603.72</v>
      </c>
      <c r="I36" s="13"/>
      <c r="J36" s="36">
        <f>IF(H$12=0,0,H36/H$12)</f>
        <v>0</v>
      </c>
      <c r="K36" s="15"/>
      <c r="L36" s="33">
        <f>D36-H36</f>
        <v>-289.99</v>
      </c>
      <c r="M36" s="15"/>
      <c r="N36" s="36">
        <f>IF(H36=0,0,L36/H36)</f>
        <v>0.48033856754786985</v>
      </c>
      <c r="O36" s="26"/>
      <c r="P36" s="33">
        <f>+P32-P34</f>
        <v>-1664.5000000000002</v>
      </c>
      <c r="Q36" s="13"/>
      <c r="R36" s="36">
        <f>IF(P$12=0,0,P36/P$12)</f>
        <v>0</v>
      </c>
      <c r="S36" s="13"/>
      <c r="T36" s="33">
        <f>+T32-T34</f>
        <v>-951.12</v>
      </c>
      <c r="U36" s="13"/>
      <c r="V36" s="36">
        <f>IF(T$12=0,0,T36/T$12)</f>
        <v>0</v>
      </c>
      <c r="W36" s="15"/>
      <c r="X36" s="33">
        <f>P36-T36</f>
        <v>-713.38000000000022</v>
      </c>
      <c r="Y36" s="15"/>
      <c r="Z36" s="36">
        <f>IF(T36=0,0,X36/T36)</f>
        <v>0.75004205568172289</v>
      </c>
    </row>
    <row r="37" spans="1:26" ht="15" thickTop="1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x14ac:dyDescent="0.3">
      <c r="A38" s="9"/>
      <c r="B38" s="9"/>
      <c r="C38" s="9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ht="15" thickBot="1" x14ac:dyDescent="0.35">
      <c r="A39" s="10"/>
      <c r="B39" s="25" t="s">
        <v>293</v>
      </c>
      <c r="C39" s="25"/>
      <c r="D39" s="30">
        <f>SUM(D36:D38)</f>
        <v>-893.71</v>
      </c>
      <c r="E39" s="13"/>
      <c r="F39" s="31">
        <f>IF(D$12=0,0,D39/D$12)</f>
        <v>0</v>
      </c>
      <c r="G39" s="13"/>
      <c r="H39" s="30">
        <f>SUM(H36:H38)</f>
        <v>-603.72</v>
      </c>
      <c r="I39" s="13"/>
      <c r="J39" s="31">
        <f>IF(H$12=0,0,H39/H$12)</f>
        <v>0</v>
      </c>
      <c r="K39" s="15"/>
      <c r="L39" s="30">
        <f>+D39-H39</f>
        <v>-289.99</v>
      </c>
      <c r="M39" s="15"/>
      <c r="N39" s="31">
        <f>IF(H39=0,0,L39/H39)</f>
        <v>0.48033856754786985</v>
      </c>
      <c r="O39" s="26"/>
      <c r="P39" s="30">
        <f>SUM(P36:P38)</f>
        <v>-1664.5000000000002</v>
      </c>
      <c r="Q39" s="13"/>
      <c r="R39" s="31">
        <f>IF(P$12=0,0,P39/P$12)</f>
        <v>0</v>
      </c>
      <c r="S39" s="13"/>
      <c r="T39" s="30">
        <f>SUM(T36:T38)</f>
        <v>-951.12</v>
      </c>
      <c r="U39" s="13"/>
      <c r="V39" s="31">
        <f>IF(T$12=0,0,T39/T$12)</f>
        <v>0</v>
      </c>
      <c r="W39" s="15"/>
      <c r="X39" s="30">
        <f>+P39-T39</f>
        <v>-713.38000000000022</v>
      </c>
      <c r="Y39" s="15"/>
      <c r="Z39" s="31">
        <f>IF(T39=0,0,X39/T39)</f>
        <v>0.75004205568172289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>
        <v>44470.840542939812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8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2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","313", " - ", "Convenience Store")</f>
        <v>Department 313 - Convenience 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3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-613.59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613.59</v>
      </c>
      <c r="M18" s="4"/>
      <c r="N18" s="12">
        <f t="shared" ref="N18:N19" si="11">IF(H18=0,0,L18/H18)</f>
        <v>-1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>
        <v>-613.59</v>
      </c>
      <c r="I19" s="2"/>
      <c r="J19" s="19">
        <f t="shared" si="9"/>
        <v>0</v>
      </c>
      <c r="K19" s="2"/>
      <c r="L19" s="2">
        <f t="shared" si="10"/>
        <v>613.59</v>
      </c>
      <c r="M19" s="2"/>
      <c r="N19" s="19">
        <f t="shared" si="11"/>
        <v>-1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3">
      <c r="A20" s="9"/>
      <c r="B20" s="10"/>
      <c r="C20" s="10"/>
      <c r="D20" s="3"/>
      <c r="E20" s="3"/>
      <c r="F20" s="6"/>
      <c r="G20" s="3"/>
      <c r="H20" s="3"/>
      <c r="I20" s="3"/>
      <c r="J20" s="6"/>
      <c r="K20" s="3"/>
      <c r="L20" s="3"/>
      <c r="M20" s="3"/>
      <c r="N20" s="6"/>
      <c r="O20" s="10"/>
      <c r="P20" s="3"/>
      <c r="Q20" s="3"/>
      <c r="R20" s="6"/>
      <c r="S20" s="3"/>
      <c r="T20" s="3"/>
      <c r="U20" s="3"/>
      <c r="V20" s="6"/>
      <c r="W20" s="3"/>
      <c r="X20" s="3"/>
      <c r="Y20" s="3"/>
      <c r="Z20" s="6"/>
    </row>
    <row r="21" spans="1:26" s="23" customFormat="1" x14ac:dyDescent="0.3">
      <c r="A21" s="10"/>
      <c r="B21" s="25" t="s">
        <v>107</v>
      </c>
      <c r="C21" s="25"/>
      <c r="D21" s="20">
        <f>D12-D18</f>
        <v>0</v>
      </c>
      <c r="E21" s="13"/>
      <c r="F21" s="22">
        <f>IF(D$12=0,0,D21/D$12)</f>
        <v>0</v>
      </c>
      <c r="G21" s="13"/>
      <c r="H21" s="20">
        <f>H12-H18</f>
        <v>613.59</v>
      </c>
      <c r="I21" s="13"/>
      <c r="J21" s="22">
        <f>IF(H$12=0,0,H21/H$12)</f>
        <v>0</v>
      </c>
      <c r="K21" s="15"/>
      <c r="L21" s="20">
        <f>+D21-H21</f>
        <v>-613.59</v>
      </c>
      <c r="M21" s="15"/>
      <c r="N21" s="22">
        <f>IF(H21=0,0,L21/H21)</f>
        <v>-1</v>
      </c>
      <c r="O21" s="26"/>
      <c r="P21" s="20">
        <f>P12-P18</f>
        <v>0</v>
      </c>
      <c r="Q21" s="13"/>
      <c r="R21" s="22">
        <f>IF(P$12=0,0,P21/P$12)</f>
        <v>0</v>
      </c>
      <c r="S21" s="13"/>
      <c r="T21" s="20">
        <f>T12-T18</f>
        <v>613.59</v>
      </c>
      <c r="U21" s="13"/>
      <c r="V21" s="22">
        <f>IF(T$12=0,0,T21/T$12)</f>
        <v>0</v>
      </c>
      <c r="W21" s="15"/>
      <c r="X21" s="20">
        <f>+P21-T21</f>
        <v>-613.59</v>
      </c>
      <c r="Y21" s="15"/>
      <c r="Z21" s="22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1">
        <f>SUM(OSRRefD22x_0)</f>
        <v>47.7</v>
      </c>
      <c r="E23" s="21"/>
      <c r="F23" s="32">
        <f t="shared" ref="F23:F32" si="16">IF(D$12=0,0,D23/D$12)</f>
        <v>0</v>
      </c>
      <c r="G23" s="21"/>
      <c r="H23" s="21">
        <f>SUM(OSRRefH22x_0)</f>
        <v>9678.07</v>
      </c>
      <c r="I23" s="21"/>
      <c r="J23" s="32">
        <f t="shared" ref="J23:J32" si="17">IF(H$12=0,0,H23/H$12)</f>
        <v>0</v>
      </c>
      <c r="K23" s="4"/>
      <c r="L23" s="21">
        <f t="shared" ref="L23:L32" si="18">+D23-H23</f>
        <v>-9630.369999999999</v>
      </c>
      <c r="M23" s="4"/>
      <c r="N23" s="32">
        <f t="shared" ref="N23:N32" si="19">IF(H23=0,0,L23/H23)</f>
        <v>-0.99507133137082071</v>
      </c>
      <c r="O23" s="10"/>
      <c r="P23" s="21">
        <f>SUM(OSRRefP22x_0)</f>
        <v>0</v>
      </c>
      <c r="Q23" s="21"/>
      <c r="R23" s="32">
        <f t="shared" ref="R23:R32" si="20">IF(P$12=0,0,P23/P$12)</f>
        <v>0</v>
      </c>
      <c r="S23" s="21"/>
      <c r="T23" s="21">
        <f>SUM(OSRRefT22x_0)</f>
        <v>19355.23</v>
      </c>
      <c r="U23" s="21"/>
      <c r="V23" s="32">
        <f t="shared" ref="V23:V32" si="21">IF(T$12=0,0,T23/T$12)</f>
        <v>0</v>
      </c>
      <c r="W23" s="4"/>
      <c r="X23" s="21">
        <f t="shared" ref="X23:X32" si="22">+P23-T23</f>
        <v>-19355.23</v>
      </c>
      <c r="Y23" s="4"/>
      <c r="Z23" s="32">
        <f t="shared" ref="Z23:Z32" si="23">IF(T23=0,0,X23/T23)</f>
        <v>-1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3925.4199999999996</v>
      </c>
      <c r="I24" s="1"/>
      <c r="J24" s="5">
        <f t="shared" si="17"/>
        <v>0</v>
      </c>
      <c r="K24" s="1"/>
      <c r="L24" s="1">
        <f t="shared" si="18"/>
        <v>-3925.4199999999996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8027.25</v>
      </c>
      <c r="U24" s="1"/>
      <c r="V24" s="5">
        <f t="shared" si="21"/>
        <v>0</v>
      </c>
      <c r="W24" s="1"/>
      <c r="X24" s="1">
        <f t="shared" si="22"/>
        <v>-8027.25</v>
      </c>
      <c r="Y24" s="1"/>
      <c r="Z24" s="5">
        <f t="shared" si="23"/>
        <v>-1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/>
      <c r="E25" s="2"/>
      <c r="F25" s="8">
        <f t="shared" si="16"/>
        <v>0</v>
      </c>
      <c r="G25" s="2"/>
      <c r="H25" s="7">
        <v>357.68</v>
      </c>
      <c r="I25" s="2"/>
      <c r="J25" s="8">
        <f t="shared" si="17"/>
        <v>0</v>
      </c>
      <c r="K25" s="2"/>
      <c r="L25" s="7">
        <f t="shared" si="18"/>
        <v>-357.68</v>
      </c>
      <c r="M25" s="2"/>
      <c r="N25" s="8">
        <f t="shared" si="19"/>
        <v>-1</v>
      </c>
      <c r="O25" s="11"/>
      <c r="P25" s="7"/>
      <c r="Q25" s="2"/>
      <c r="R25" s="8">
        <f t="shared" si="20"/>
        <v>0</v>
      </c>
      <c r="S25" s="2"/>
      <c r="T25" s="7">
        <v>741.5</v>
      </c>
      <c r="U25" s="2"/>
      <c r="V25" s="8">
        <f t="shared" si="21"/>
        <v>0</v>
      </c>
      <c r="W25" s="2"/>
      <c r="X25" s="7">
        <f t="shared" si="22"/>
        <v>-741.5</v>
      </c>
      <c r="Y25" s="2"/>
      <c r="Z25" s="8">
        <f t="shared" si="23"/>
        <v>-1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8">
        <f t="shared" si="16"/>
        <v>0</v>
      </c>
      <c r="G26" s="2"/>
      <c r="H26" s="7">
        <v>86.5</v>
      </c>
      <c r="I26" s="2"/>
      <c r="J26" s="8">
        <f t="shared" si="17"/>
        <v>0</v>
      </c>
      <c r="K26" s="2"/>
      <c r="L26" s="7">
        <f t="shared" si="18"/>
        <v>-86.5</v>
      </c>
      <c r="M26" s="2"/>
      <c r="N26" s="8">
        <f t="shared" si="19"/>
        <v>-1</v>
      </c>
      <c r="O26" s="11"/>
      <c r="P26" s="7"/>
      <c r="Q26" s="2"/>
      <c r="R26" s="8">
        <f t="shared" si="20"/>
        <v>0</v>
      </c>
      <c r="S26" s="2"/>
      <c r="T26" s="7">
        <v>179.32</v>
      </c>
      <c r="U26" s="2"/>
      <c r="V26" s="8">
        <f t="shared" si="21"/>
        <v>0</v>
      </c>
      <c r="W26" s="2"/>
      <c r="X26" s="7">
        <f t="shared" si="22"/>
        <v>-179.32</v>
      </c>
      <c r="Y26" s="2"/>
      <c r="Z26" s="8">
        <f t="shared" si="23"/>
        <v>-1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8">
        <f t="shared" si="16"/>
        <v>0</v>
      </c>
      <c r="G27" s="2"/>
      <c r="H27" s="7">
        <v>2021.26</v>
      </c>
      <c r="I27" s="2"/>
      <c r="J27" s="8">
        <f t="shared" si="17"/>
        <v>0</v>
      </c>
      <c r="K27" s="2"/>
      <c r="L27" s="7">
        <f t="shared" si="18"/>
        <v>-2021.26</v>
      </c>
      <c r="M27" s="2"/>
      <c r="N27" s="8">
        <f t="shared" si="19"/>
        <v>-1</v>
      </c>
      <c r="O27" s="11"/>
      <c r="P27" s="7"/>
      <c r="Q27" s="2"/>
      <c r="R27" s="8">
        <f t="shared" si="20"/>
        <v>0</v>
      </c>
      <c r="S27" s="2"/>
      <c r="T27" s="7">
        <v>4042.52</v>
      </c>
      <c r="U27" s="2"/>
      <c r="V27" s="8">
        <f t="shared" si="21"/>
        <v>0</v>
      </c>
      <c r="W27" s="2"/>
      <c r="X27" s="7">
        <f t="shared" si="22"/>
        <v>-4042.52</v>
      </c>
      <c r="Y27" s="2"/>
      <c r="Z27" s="8">
        <f t="shared" si="23"/>
        <v>-1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8">
        <f t="shared" si="16"/>
        <v>0</v>
      </c>
      <c r="G28" s="2"/>
      <c r="H28" s="7">
        <v>12.16</v>
      </c>
      <c r="I28" s="2"/>
      <c r="J28" s="8">
        <f t="shared" si="17"/>
        <v>0</v>
      </c>
      <c r="K28" s="2"/>
      <c r="L28" s="7">
        <f t="shared" si="18"/>
        <v>-12.16</v>
      </c>
      <c r="M28" s="2"/>
      <c r="N28" s="8">
        <f t="shared" si="19"/>
        <v>-1</v>
      </c>
      <c r="O28" s="11"/>
      <c r="P28" s="7"/>
      <c r="Q28" s="2"/>
      <c r="R28" s="8">
        <f t="shared" si="20"/>
        <v>0</v>
      </c>
      <c r="S28" s="2"/>
      <c r="T28" s="7">
        <v>25.2</v>
      </c>
      <c r="U28" s="2"/>
      <c r="V28" s="8">
        <f t="shared" si="21"/>
        <v>0</v>
      </c>
      <c r="W28" s="2"/>
      <c r="X28" s="7">
        <f t="shared" si="22"/>
        <v>-25.2</v>
      </c>
      <c r="Y28" s="2"/>
      <c r="Z28" s="8">
        <f t="shared" si="23"/>
        <v>-1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/>
      <c r="E29" s="2"/>
      <c r="F29" s="8">
        <f t="shared" si="16"/>
        <v>0</v>
      </c>
      <c r="G29" s="2"/>
      <c r="H29" s="7">
        <v>614.05999999999995</v>
      </c>
      <c r="I29" s="2"/>
      <c r="J29" s="8">
        <f t="shared" si="17"/>
        <v>0</v>
      </c>
      <c r="K29" s="2"/>
      <c r="L29" s="7">
        <f t="shared" si="18"/>
        <v>-614.05999999999995</v>
      </c>
      <c r="M29" s="2"/>
      <c r="N29" s="8">
        <f t="shared" si="19"/>
        <v>-1</v>
      </c>
      <c r="O29" s="11"/>
      <c r="P29" s="7"/>
      <c r="Q29" s="2"/>
      <c r="R29" s="8">
        <f t="shared" si="20"/>
        <v>0</v>
      </c>
      <c r="S29" s="2"/>
      <c r="T29" s="7">
        <v>1535.15</v>
      </c>
      <c r="U29" s="2"/>
      <c r="V29" s="8">
        <f t="shared" si="21"/>
        <v>0</v>
      </c>
      <c r="W29" s="2"/>
      <c r="X29" s="7">
        <f t="shared" si="22"/>
        <v>-1535.15</v>
      </c>
      <c r="Y29" s="2"/>
      <c r="Z29" s="8">
        <f t="shared" si="23"/>
        <v>-1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/>
      <c r="E30" s="2"/>
      <c r="F30" s="8">
        <f t="shared" si="16"/>
        <v>0</v>
      </c>
      <c r="G30" s="2"/>
      <c r="H30" s="7">
        <v>407.06</v>
      </c>
      <c r="I30" s="2"/>
      <c r="J30" s="8">
        <f t="shared" si="17"/>
        <v>0</v>
      </c>
      <c r="K30" s="2"/>
      <c r="L30" s="7">
        <f t="shared" si="18"/>
        <v>-407.06</v>
      </c>
      <c r="M30" s="2"/>
      <c r="N30" s="8">
        <f t="shared" si="19"/>
        <v>-1</v>
      </c>
      <c r="O30" s="11"/>
      <c r="P30" s="7"/>
      <c r="Q30" s="2"/>
      <c r="R30" s="8">
        <f t="shared" si="20"/>
        <v>0</v>
      </c>
      <c r="S30" s="2"/>
      <c r="T30" s="7">
        <v>814.12</v>
      </c>
      <c r="U30" s="2"/>
      <c r="V30" s="8">
        <f t="shared" si="21"/>
        <v>0</v>
      </c>
      <c r="W30" s="2"/>
      <c r="X30" s="7">
        <f t="shared" si="22"/>
        <v>-814.12</v>
      </c>
      <c r="Y30" s="2"/>
      <c r="Z30" s="8">
        <f t="shared" si="23"/>
        <v>-1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/>
      <c r="E31" s="2"/>
      <c r="F31" s="8">
        <f t="shared" si="16"/>
        <v>0</v>
      </c>
      <c r="G31" s="2"/>
      <c r="H31" s="7">
        <v>256.76</v>
      </c>
      <c r="I31" s="2"/>
      <c r="J31" s="8">
        <f t="shared" si="17"/>
        <v>0</v>
      </c>
      <c r="K31" s="2"/>
      <c r="L31" s="7">
        <f t="shared" si="18"/>
        <v>-256.76</v>
      </c>
      <c r="M31" s="2"/>
      <c r="N31" s="8">
        <f t="shared" si="19"/>
        <v>-1</v>
      </c>
      <c r="O31" s="11"/>
      <c r="P31" s="7"/>
      <c r="Q31" s="2"/>
      <c r="R31" s="8">
        <f t="shared" si="20"/>
        <v>0</v>
      </c>
      <c r="S31" s="2"/>
      <c r="T31" s="7">
        <v>513.52</v>
      </c>
      <c r="U31" s="2"/>
      <c r="V31" s="8">
        <f t="shared" si="21"/>
        <v>0</v>
      </c>
      <c r="W31" s="2"/>
      <c r="X31" s="7">
        <f t="shared" si="22"/>
        <v>-513.52</v>
      </c>
      <c r="Y31" s="2"/>
      <c r="Z31" s="8">
        <f t="shared" si="23"/>
        <v>-1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8">
        <f t="shared" si="16"/>
        <v>0</v>
      </c>
      <c r="G32" s="2"/>
      <c r="H32" s="7">
        <v>169.94</v>
      </c>
      <c r="I32" s="2"/>
      <c r="J32" s="8">
        <f t="shared" si="17"/>
        <v>0</v>
      </c>
      <c r="K32" s="2"/>
      <c r="L32" s="7">
        <f t="shared" si="18"/>
        <v>-169.94</v>
      </c>
      <c r="M32" s="2"/>
      <c r="N32" s="8">
        <f t="shared" si="19"/>
        <v>-1</v>
      </c>
      <c r="O32" s="11"/>
      <c r="P32" s="7"/>
      <c r="Q32" s="2"/>
      <c r="R32" s="8">
        <f t="shared" si="20"/>
        <v>0</v>
      </c>
      <c r="S32" s="2"/>
      <c r="T32" s="7">
        <v>175.92</v>
      </c>
      <c r="U32" s="2"/>
      <c r="V32" s="8">
        <f t="shared" si="21"/>
        <v>0</v>
      </c>
      <c r="W32" s="2"/>
      <c r="X32" s="7">
        <f t="shared" si="22"/>
        <v>-175.92</v>
      </c>
      <c r="Y32" s="2"/>
      <c r="Z32" s="8">
        <f t="shared" si="23"/>
        <v>-1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2" si="24">IF(D$12=0,0,D33/D$12)</f>
        <v>0</v>
      </c>
      <c r="G33" s="1"/>
      <c r="H33" s="1">
        <f>SUM(OSRRefH22_1x_0)</f>
        <v>5566.66</v>
      </c>
      <c r="I33" s="1"/>
      <c r="J33" s="5">
        <f t="shared" ref="J33:J42" si="25">IF(H$12=0,0,H33/H$12)</f>
        <v>0</v>
      </c>
      <c r="K33" s="1"/>
      <c r="L33" s="1">
        <f t="shared" ref="L33:L42" si="26">+D33-H33</f>
        <v>-5566.66</v>
      </c>
      <c r="M33" s="1"/>
      <c r="N33" s="5">
        <f t="shared" ref="N33:N42" si="27">IF(H33=0,0,L33/H33)</f>
        <v>-1</v>
      </c>
      <c r="O33" s="14"/>
      <c r="P33" s="1">
        <f>SUM(OSRRefP22_1x_0)</f>
        <v>0</v>
      </c>
      <c r="Q33" s="1"/>
      <c r="R33" s="5">
        <f t="shared" ref="R33:R42" si="28">IF(P$12=0,0,P33/P$12)</f>
        <v>0</v>
      </c>
      <c r="S33" s="1"/>
      <c r="T33" s="1">
        <f>SUM(OSRRefT22_1x_0)</f>
        <v>10959.69</v>
      </c>
      <c r="U33" s="1"/>
      <c r="V33" s="5">
        <f t="shared" ref="V33:V42" si="29">IF(T$12=0,0,T33/T$12)</f>
        <v>0</v>
      </c>
      <c r="W33" s="1"/>
      <c r="X33" s="1">
        <f t="shared" ref="X33:X42" si="30">+P33-T33</f>
        <v>-10959.69</v>
      </c>
      <c r="Y33" s="1"/>
      <c r="Z33" s="5">
        <f t="shared" ref="Z33:Z42" si="31">IF(T33=0,0,X33/T33)</f>
        <v>-1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8">
        <f t="shared" si="24"/>
        <v>0</v>
      </c>
      <c r="G34" s="2"/>
      <c r="H34" s="7">
        <v>5566.66</v>
      </c>
      <c r="I34" s="2"/>
      <c r="J34" s="8">
        <f t="shared" si="25"/>
        <v>0</v>
      </c>
      <c r="K34" s="2"/>
      <c r="L34" s="7">
        <f t="shared" si="26"/>
        <v>-5566.66</v>
      </c>
      <c r="M34" s="2"/>
      <c r="N34" s="8">
        <f t="shared" si="27"/>
        <v>-1</v>
      </c>
      <c r="O34" s="11"/>
      <c r="P34" s="7"/>
      <c r="Q34" s="2"/>
      <c r="R34" s="8">
        <f t="shared" si="28"/>
        <v>0</v>
      </c>
      <c r="S34" s="2"/>
      <c r="T34" s="7">
        <v>10959.69</v>
      </c>
      <c r="U34" s="2"/>
      <c r="V34" s="8">
        <f t="shared" si="29"/>
        <v>0</v>
      </c>
      <c r="W34" s="2"/>
      <c r="X34" s="7">
        <f t="shared" si="30"/>
        <v>-10959.69</v>
      </c>
      <c r="Y34" s="2"/>
      <c r="Z34" s="8">
        <f t="shared" si="31"/>
        <v>-1</v>
      </c>
    </row>
    <row r="35" spans="1:26" s="28" customFormat="1" outlineLevel="1" collapsed="1" x14ac:dyDescent="0.3">
      <c r="A35" s="29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60</v>
      </c>
      <c r="I35" s="1"/>
      <c r="J35" s="5">
        <f t="shared" si="25"/>
        <v>0</v>
      </c>
      <c r="K35" s="1"/>
      <c r="L35" s="1">
        <f t="shared" si="26"/>
        <v>-60</v>
      </c>
      <c r="M35" s="1"/>
      <c r="N35" s="5">
        <f t="shared" si="27"/>
        <v>-1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120</v>
      </c>
      <c r="U35" s="1"/>
      <c r="V35" s="5">
        <f t="shared" si="29"/>
        <v>0</v>
      </c>
      <c r="W35" s="1"/>
      <c r="X35" s="1">
        <f t="shared" si="30"/>
        <v>-120</v>
      </c>
      <c r="Y35" s="1"/>
      <c r="Z35" s="5">
        <f t="shared" si="31"/>
        <v>-1</v>
      </c>
    </row>
    <row r="36" spans="1:26" s="24" customFormat="1" hidden="1" outlineLevel="2" x14ac:dyDescent="0.3">
      <c r="A36" s="27"/>
      <c r="B36" s="11" t="str">
        <f>CONCATENATE("          ", "6381", " - ", "BANK/CREDIT CARD FEES")</f>
        <v xml:space="preserve">          6381 - BANK/CREDIT CARD FEES</v>
      </c>
      <c r="C36" s="11"/>
      <c r="D36" s="7"/>
      <c r="E36" s="2"/>
      <c r="F36" s="8">
        <f t="shared" si="24"/>
        <v>0</v>
      </c>
      <c r="G36" s="2"/>
      <c r="H36" s="7">
        <v>60</v>
      </c>
      <c r="I36" s="2"/>
      <c r="J36" s="8">
        <f t="shared" si="25"/>
        <v>0</v>
      </c>
      <c r="K36" s="2"/>
      <c r="L36" s="7">
        <f t="shared" si="26"/>
        <v>-60</v>
      </c>
      <c r="M36" s="2"/>
      <c r="N36" s="8">
        <f t="shared" si="27"/>
        <v>-1</v>
      </c>
      <c r="O36" s="11"/>
      <c r="P36" s="7"/>
      <c r="Q36" s="2"/>
      <c r="R36" s="8">
        <f t="shared" si="28"/>
        <v>0</v>
      </c>
      <c r="S36" s="2"/>
      <c r="T36" s="7">
        <v>120</v>
      </c>
      <c r="U36" s="2"/>
      <c r="V36" s="8">
        <f t="shared" si="29"/>
        <v>0</v>
      </c>
      <c r="W36" s="2"/>
      <c r="X36" s="7">
        <f t="shared" si="30"/>
        <v>-120</v>
      </c>
      <c r="Y36" s="2"/>
      <c r="Z36" s="8">
        <f t="shared" si="31"/>
        <v>-1</v>
      </c>
    </row>
    <row r="37" spans="1:26" s="28" customFormat="1" outlineLevel="1" collapsed="1" x14ac:dyDescent="0.3">
      <c r="A37" s="29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3.94</v>
      </c>
      <c r="I37" s="1"/>
      <c r="J37" s="5">
        <f t="shared" si="25"/>
        <v>0</v>
      </c>
      <c r="K37" s="1"/>
      <c r="L37" s="1">
        <f t="shared" si="26"/>
        <v>-3.94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3.94</v>
      </c>
      <c r="U37" s="1"/>
      <c r="V37" s="5">
        <f t="shared" si="29"/>
        <v>0</v>
      </c>
      <c r="W37" s="1"/>
      <c r="X37" s="1">
        <f t="shared" si="30"/>
        <v>-3.94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"6305", " - ", "FREIGHT OUT")</f>
        <v xml:space="preserve">          6305 - FREIGHT OUT</v>
      </c>
      <c r="C38" s="11"/>
      <c r="D38" s="7"/>
      <c r="E38" s="2"/>
      <c r="F38" s="8">
        <f t="shared" si="24"/>
        <v>0</v>
      </c>
      <c r="G38" s="2"/>
      <c r="H38" s="7">
        <v>3.94</v>
      </c>
      <c r="I38" s="2"/>
      <c r="J38" s="8">
        <f t="shared" si="25"/>
        <v>0</v>
      </c>
      <c r="K38" s="2"/>
      <c r="L38" s="7">
        <f t="shared" si="26"/>
        <v>-3.94</v>
      </c>
      <c r="M38" s="2"/>
      <c r="N38" s="8">
        <f t="shared" si="27"/>
        <v>-1</v>
      </c>
      <c r="O38" s="11"/>
      <c r="P38" s="7"/>
      <c r="Q38" s="2"/>
      <c r="R38" s="8">
        <f t="shared" si="28"/>
        <v>0</v>
      </c>
      <c r="S38" s="2"/>
      <c r="T38" s="7">
        <v>3.94</v>
      </c>
      <c r="U38" s="2"/>
      <c r="V38" s="8">
        <f t="shared" si="29"/>
        <v>0</v>
      </c>
      <c r="W38" s="2"/>
      <c r="X38" s="7">
        <f t="shared" si="30"/>
        <v>-3.94</v>
      </c>
      <c r="Y38" s="2"/>
      <c r="Z38" s="8">
        <f t="shared" si="31"/>
        <v>-1</v>
      </c>
    </row>
    <row r="39" spans="1:26" s="28" customFormat="1" outlineLevel="1" collapsed="1" x14ac:dyDescent="0.3">
      <c r="A39" s="29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0</v>
      </c>
      <c r="I39" s="1"/>
      <c r="J39" s="5">
        <f t="shared" si="25"/>
        <v>0</v>
      </c>
      <c r="K39" s="1"/>
      <c r="L39" s="1">
        <f t="shared" si="26"/>
        <v>0</v>
      </c>
      <c r="M39" s="1"/>
      <c r="N39" s="5">
        <f t="shared" si="27"/>
        <v>0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0</v>
      </c>
      <c r="U39" s="1"/>
      <c r="V39" s="5">
        <f t="shared" si="29"/>
        <v>0</v>
      </c>
      <c r="W39" s="1"/>
      <c r="X39" s="1">
        <f t="shared" si="30"/>
        <v>0</v>
      </c>
      <c r="Y39" s="1"/>
      <c r="Z39" s="5">
        <f t="shared" si="31"/>
        <v>0</v>
      </c>
    </row>
    <row r="40" spans="1:26" s="24" customFormat="1" hidden="1" outlineLevel="2" x14ac:dyDescent="0.3">
      <c r="A40" s="27"/>
      <c r="B40" s="11" t="str">
        <f>CONCATENATE("          ", "6247", " - ", "STORE SUPPLIES")</f>
        <v xml:space="preserve">          6247 - STORE SUPPLIES</v>
      </c>
      <c r="C40" s="11"/>
      <c r="D40" s="7">
        <v>0</v>
      </c>
      <c r="E40" s="2"/>
      <c r="F40" s="8">
        <f t="shared" si="24"/>
        <v>0</v>
      </c>
      <c r="G40" s="2"/>
      <c r="H40" s="7"/>
      <c r="I40" s="2"/>
      <c r="J40" s="8">
        <f t="shared" si="25"/>
        <v>0</v>
      </c>
      <c r="K40" s="2"/>
      <c r="L40" s="7">
        <f t="shared" si="26"/>
        <v>0</v>
      </c>
      <c r="M40" s="2"/>
      <c r="N40" s="8">
        <f t="shared" si="27"/>
        <v>0</v>
      </c>
      <c r="O40" s="11"/>
      <c r="P40" s="7">
        <v>0</v>
      </c>
      <c r="Q40" s="2"/>
      <c r="R40" s="8">
        <f t="shared" si="28"/>
        <v>0</v>
      </c>
      <c r="S40" s="2"/>
      <c r="T40" s="7"/>
      <c r="U40" s="2"/>
      <c r="V40" s="8">
        <f t="shared" si="29"/>
        <v>0</v>
      </c>
      <c r="W40" s="2"/>
      <c r="X40" s="7">
        <f t="shared" si="30"/>
        <v>0</v>
      </c>
      <c r="Y40" s="2"/>
      <c r="Z40" s="8">
        <f t="shared" si="31"/>
        <v>0</v>
      </c>
    </row>
    <row r="41" spans="1:26" s="28" customFormat="1" outlineLevel="1" collapsed="1" x14ac:dyDescent="0.3">
      <c r="A41" s="29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SUM(OSRRefD22_5x_0)</f>
        <v>47.7</v>
      </c>
      <c r="E41" s="1"/>
      <c r="F41" s="5">
        <f t="shared" si="24"/>
        <v>0</v>
      </c>
      <c r="G41" s="1"/>
      <c r="H41" s="1">
        <f>SUM(OSRRefH22_5x_0)</f>
        <v>122.05</v>
      </c>
      <c r="I41" s="1"/>
      <c r="J41" s="5">
        <f t="shared" si="25"/>
        <v>0</v>
      </c>
      <c r="K41" s="1"/>
      <c r="L41" s="1">
        <f t="shared" si="26"/>
        <v>-74.349999999999994</v>
      </c>
      <c r="M41" s="1"/>
      <c r="N41" s="5">
        <f t="shared" si="27"/>
        <v>-0.60917656698074552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244.35</v>
      </c>
      <c r="U41" s="1"/>
      <c r="V41" s="5">
        <f t="shared" si="29"/>
        <v>0</v>
      </c>
      <c r="W41" s="1"/>
      <c r="X41" s="1">
        <f t="shared" si="30"/>
        <v>-244.35</v>
      </c>
      <c r="Y41" s="1"/>
      <c r="Z41" s="5">
        <f t="shared" si="31"/>
        <v>-1</v>
      </c>
    </row>
    <row r="42" spans="1:26" s="24" customFormat="1" hidden="1" outlineLevel="2" x14ac:dyDescent="0.3">
      <c r="A42" s="27"/>
      <c r="B42" s="11" t="str">
        <f>CONCATENATE("          ", "6309", " - ", "TELEPHONE")</f>
        <v xml:space="preserve">          6309 - TELEPHONE</v>
      </c>
      <c r="C42" s="11"/>
      <c r="D42" s="7">
        <v>47.7</v>
      </c>
      <c r="E42" s="2"/>
      <c r="F42" s="8">
        <f t="shared" si="24"/>
        <v>0</v>
      </c>
      <c r="G42" s="2"/>
      <c r="H42" s="7">
        <v>122.05</v>
      </c>
      <c r="I42" s="2"/>
      <c r="J42" s="8">
        <f t="shared" si="25"/>
        <v>0</v>
      </c>
      <c r="K42" s="2"/>
      <c r="L42" s="7">
        <f t="shared" si="26"/>
        <v>-74.349999999999994</v>
      </c>
      <c r="M42" s="2"/>
      <c r="N42" s="8">
        <f t="shared" si="27"/>
        <v>-0.60917656698074552</v>
      </c>
      <c r="O42" s="11"/>
      <c r="P42" s="7">
        <v>0</v>
      </c>
      <c r="Q42" s="2"/>
      <c r="R42" s="8">
        <f t="shared" si="28"/>
        <v>0</v>
      </c>
      <c r="S42" s="2"/>
      <c r="T42" s="7">
        <v>244.35</v>
      </c>
      <c r="U42" s="2"/>
      <c r="V42" s="8">
        <f t="shared" si="29"/>
        <v>0</v>
      </c>
      <c r="W42" s="2"/>
      <c r="X42" s="7">
        <f t="shared" si="30"/>
        <v>-244.35</v>
      </c>
      <c r="Y42" s="2"/>
      <c r="Z42" s="8">
        <f t="shared" si="31"/>
        <v>-1</v>
      </c>
    </row>
    <row r="43" spans="1:26" s="61" customFormat="1" x14ac:dyDescent="0.3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6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O45" s="10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x14ac:dyDescent="0.3">
      <c r="A46" s="10"/>
      <c r="B46" s="25" t="s">
        <v>276</v>
      </c>
      <c r="C46" s="25"/>
      <c r="D46" s="20">
        <f>+D21-D23+D44</f>
        <v>-47.7</v>
      </c>
      <c r="E46" s="13"/>
      <c r="F46" s="22">
        <f>IF(D$12=0,0,D46/D$12)</f>
        <v>0</v>
      </c>
      <c r="G46" s="13"/>
      <c r="H46" s="20">
        <f>+H21-H23+H44</f>
        <v>-9064.48</v>
      </c>
      <c r="I46" s="13"/>
      <c r="J46" s="22">
        <f>IF(H$12=0,0,H46/H$12)</f>
        <v>0</v>
      </c>
      <c r="K46" s="15"/>
      <c r="L46" s="20">
        <f>+D46-H46</f>
        <v>9016.7799999999988</v>
      </c>
      <c r="M46" s="15"/>
      <c r="N46" s="22">
        <f>IF(H46=0,0,L46/H46)</f>
        <v>-0.99473770144564266</v>
      </c>
      <c r="O46" s="26"/>
      <c r="P46" s="20">
        <f>+P21-P23+P44</f>
        <v>0</v>
      </c>
      <c r="Q46" s="13"/>
      <c r="R46" s="22">
        <f>IF(P$12=0,0,P46/P$12)</f>
        <v>0</v>
      </c>
      <c r="S46" s="13"/>
      <c r="T46" s="20">
        <f>+T21-T23+T44</f>
        <v>-18741.64</v>
      </c>
      <c r="U46" s="13"/>
      <c r="V46" s="22">
        <f>IF(T$12=0,0,T46/T$12)</f>
        <v>0</v>
      </c>
      <c r="W46" s="15"/>
      <c r="X46" s="20">
        <f>+P46-T46</f>
        <v>18741.64</v>
      </c>
      <c r="Y46" s="15"/>
      <c r="Z46" s="22">
        <f>IF(T46=0,0,X46/T46)</f>
        <v>-1</v>
      </c>
    </row>
    <row r="47" spans="1:26" x14ac:dyDescent="0.3">
      <c r="A47" s="9"/>
      <c r="B47" s="10"/>
      <c r="C47" s="9"/>
      <c r="D47" s="3"/>
      <c r="E47" s="3"/>
      <c r="F47" s="6"/>
      <c r="G47" s="3"/>
      <c r="H47" s="3"/>
      <c r="I47" s="3"/>
      <c r="J47" s="6"/>
      <c r="K47" s="3"/>
      <c r="L47" s="3"/>
      <c r="M47" s="3"/>
      <c r="N47" s="6"/>
      <c r="P47" s="3"/>
      <c r="Q47" s="3"/>
      <c r="R47" s="6"/>
      <c r="S47" s="3"/>
      <c r="T47" s="3"/>
      <c r="U47" s="3"/>
      <c r="V47" s="6"/>
      <c r="W47" s="3"/>
      <c r="X47" s="3"/>
      <c r="Y47" s="3"/>
      <c r="Z47" s="6"/>
    </row>
    <row r="48" spans="1:26" s="23" customFormat="1" x14ac:dyDescent="0.3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6"/>
      <c r="G49" s="3"/>
      <c r="H49" s="3"/>
      <c r="I49" s="3"/>
      <c r="J49" s="6"/>
      <c r="K49" s="3"/>
      <c r="L49" s="3"/>
      <c r="M49" s="3"/>
      <c r="N49" s="6"/>
      <c r="O49" s="10"/>
      <c r="P49" s="3"/>
      <c r="Q49" s="3"/>
      <c r="R49" s="6"/>
      <c r="S49" s="3"/>
      <c r="T49" s="3"/>
      <c r="U49" s="3"/>
      <c r="V49" s="6"/>
      <c r="W49" s="3"/>
      <c r="X49" s="3"/>
      <c r="Y49" s="3"/>
      <c r="Z49" s="6"/>
    </row>
    <row r="50" spans="1:26" s="23" customFormat="1" ht="15" thickBot="1" x14ac:dyDescent="0.35">
      <c r="A50" s="10"/>
      <c r="B50" s="25" t="s">
        <v>125</v>
      </c>
      <c r="C50" s="25"/>
      <c r="D50" s="33">
        <f>+D46-D48</f>
        <v>-47.7</v>
      </c>
      <c r="E50" s="13"/>
      <c r="F50" s="36">
        <f>IF(D$12=0,0,D50/D$12)</f>
        <v>0</v>
      </c>
      <c r="G50" s="13"/>
      <c r="H50" s="33">
        <f>+H46-H48</f>
        <v>-9064.48</v>
      </c>
      <c r="I50" s="13"/>
      <c r="J50" s="36">
        <f>IF(H$12=0,0,H50/H$12)</f>
        <v>0</v>
      </c>
      <c r="K50" s="15"/>
      <c r="L50" s="33">
        <f>D50-H50</f>
        <v>9016.7799999999988</v>
      </c>
      <c r="M50" s="15"/>
      <c r="N50" s="36">
        <f>IF(H50=0,0,L50/H50)</f>
        <v>-0.99473770144564266</v>
      </c>
      <c r="O50" s="26"/>
      <c r="P50" s="33">
        <f>+P46-P48</f>
        <v>0</v>
      </c>
      <c r="Q50" s="13"/>
      <c r="R50" s="36">
        <f>IF(P$12=0,0,P50/P$12)</f>
        <v>0</v>
      </c>
      <c r="S50" s="13"/>
      <c r="T50" s="33">
        <f>+T46-T48</f>
        <v>-18741.64</v>
      </c>
      <c r="U50" s="13"/>
      <c r="V50" s="36">
        <f>IF(T$12=0,0,T50/T$12)</f>
        <v>0</v>
      </c>
      <c r="W50" s="15"/>
      <c r="X50" s="33">
        <f>P50-T50</f>
        <v>18741.64</v>
      </c>
      <c r="Y50" s="15"/>
      <c r="Z50" s="36">
        <f>IF(T50=0,0,X50/T50)</f>
        <v>-1</v>
      </c>
    </row>
    <row r="51" spans="1:26" ht="15" thickTop="1" x14ac:dyDescent="0.3">
      <c r="A51" s="9"/>
      <c r="B51" s="9"/>
      <c r="C51" s="9"/>
      <c r="D51" s="3"/>
      <c r="E51" s="3"/>
      <c r="F51" s="6"/>
      <c r="G51" s="3"/>
      <c r="H51" s="3"/>
      <c r="I51" s="3"/>
      <c r="J51" s="6"/>
      <c r="K51" s="3"/>
      <c r="L51" s="3"/>
      <c r="M51" s="3"/>
      <c r="N51" s="6"/>
      <c r="P51" s="3"/>
      <c r="Q51" s="3"/>
      <c r="R51" s="6"/>
      <c r="S51" s="3"/>
      <c r="T51" s="3"/>
      <c r="U51" s="3"/>
      <c r="V51" s="6"/>
      <c r="W51" s="3"/>
      <c r="X51" s="3"/>
      <c r="Y51" s="3"/>
      <c r="Z51" s="6"/>
    </row>
    <row r="52" spans="1:26" x14ac:dyDescent="0.3">
      <c r="A52" s="9"/>
      <c r="B52" s="9"/>
      <c r="C52" s="9"/>
      <c r="D52" s="3"/>
      <c r="E52" s="3"/>
      <c r="F52" s="6"/>
      <c r="G52" s="3"/>
      <c r="H52" s="3"/>
      <c r="I52" s="3"/>
      <c r="J52" s="6"/>
      <c r="K52" s="3"/>
      <c r="L52" s="3"/>
      <c r="M52" s="3"/>
      <c r="N52" s="6"/>
      <c r="P52" s="3"/>
      <c r="Q52" s="3"/>
      <c r="R52" s="6"/>
      <c r="S52" s="3"/>
      <c r="T52" s="3"/>
      <c r="U52" s="3"/>
      <c r="V52" s="6"/>
      <c r="W52" s="3"/>
      <c r="X52" s="3"/>
      <c r="Y52" s="3"/>
      <c r="Z52" s="6"/>
    </row>
    <row r="53" spans="1:26" s="23" customFormat="1" ht="15" thickBot="1" x14ac:dyDescent="0.35">
      <c r="A53" s="10"/>
      <c r="B53" s="25" t="s">
        <v>293</v>
      </c>
      <c r="C53" s="25"/>
      <c r="D53" s="30">
        <f>SUM(D50:D52)</f>
        <v>-47.7</v>
      </c>
      <c r="E53" s="13"/>
      <c r="F53" s="31">
        <f>IF(D$12=0,0,D53/D$12)</f>
        <v>0</v>
      </c>
      <c r="G53" s="13"/>
      <c r="H53" s="30">
        <f>SUM(H50:H52)</f>
        <v>-9064.48</v>
      </c>
      <c r="I53" s="13"/>
      <c r="J53" s="31">
        <f>IF(H$12=0,0,H53/H$12)</f>
        <v>0</v>
      </c>
      <c r="K53" s="15"/>
      <c r="L53" s="30">
        <f>+D53-H53</f>
        <v>9016.7799999999988</v>
      </c>
      <c r="M53" s="15"/>
      <c r="N53" s="31">
        <f>IF(H53=0,0,L53/H53)</f>
        <v>-0.99473770144564266</v>
      </c>
      <c r="O53" s="26"/>
      <c r="P53" s="30">
        <f>SUM(P50:P52)</f>
        <v>0</v>
      </c>
      <c r="Q53" s="13"/>
      <c r="R53" s="31">
        <f>IF(P$12=0,0,P53/P$12)</f>
        <v>0</v>
      </c>
      <c r="S53" s="13"/>
      <c r="T53" s="30">
        <f>SUM(T50:T52)</f>
        <v>-18741.64</v>
      </c>
      <c r="U53" s="13"/>
      <c r="V53" s="31">
        <f>IF(T$12=0,0,T53/T$12)</f>
        <v>0</v>
      </c>
      <c r="W53" s="15"/>
      <c r="X53" s="30">
        <f>+P53-T53</f>
        <v>18741.64</v>
      </c>
      <c r="Y53" s="15"/>
      <c r="Z53" s="31">
        <f>IF(T53=0,0,X53/T53)</f>
        <v>-1</v>
      </c>
    </row>
    <row r="54" spans="1:26" ht="15" thickTop="1" x14ac:dyDescent="0.3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9">
        <v>44470.840542939812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A56" s="9"/>
      <c r="B56" s="58" t="s">
        <v>56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3">
      <c r="A57" s="9"/>
      <c r="B57" s="52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3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","321", " - ", "Corner Market")</f>
        <v>Department 321 - Corner Market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714</v>
      </c>
      <c r="I12" s="4"/>
      <c r="J12" s="12"/>
      <c r="K12" s="4"/>
      <c r="L12" s="4">
        <f t="shared" ref="L12:L14" si="0">+D12-H12</f>
        <v>-714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714</v>
      </c>
      <c r="U12" s="4"/>
      <c r="V12" s="12"/>
      <c r="W12" s="4"/>
      <c r="X12" s="4">
        <f t="shared" ref="X12:X14" si="2">+P12-T12</f>
        <v>-714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--88.2</f>
        <v>88.2</v>
      </c>
      <c r="I13" s="2"/>
      <c r="J13" s="19"/>
      <c r="K13" s="2"/>
      <c r="L13" s="2">
        <f t="shared" si="0"/>
        <v>-88.2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--88.2</f>
        <v>88.2</v>
      </c>
      <c r="U13" s="2"/>
      <c r="V13" s="19"/>
      <c r="W13" s="2"/>
      <c r="X13" s="2">
        <f t="shared" si="2"/>
        <v>-88.2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--625.8</f>
        <v>625.79999999999995</v>
      </c>
      <c r="I14" s="2"/>
      <c r="J14" s="19"/>
      <c r="K14" s="2"/>
      <c r="L14" s="2">
        <f t="shared" si="0"/>
        <v>-625.79999999999995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--625.8</f>
        <v>625.79999999999995</v>
      </c>
      <c r="U14" s="2"/>
      <c r="V14" s="19"/>
      <c r="W14" s="2"/>
      <c r="X14" s="2">
        <f t="shared" si="2"/>
        <v>-625.79999999999995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186.33</v>
      </c>
      <c r="I16" s="4"/>
      <c r="J16" s="12">
        <f t="shared" ref="J16:J17" si="7">IF(H$12=0,0,H16/H$12)</f>
        <v>0.26096638655462184</v>
      </c>
      <c r="K16" s="4"/>
      <c r="L16" s="4">
        <f t="shared" ref="L16:L17" si="8">+D16-H16</f>
        <v>-186.33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186.33</v>
      </c>
      <c r="U16" s="4"/>
      <c r="V16" s="12">
        <f t="shared" ref="V16:V17" si="11">IF(T$12=0,0,T16/T$12)</f>
        <v>0.26096638655462184</v>
      </c>
      <c r="W16" s="4"/>
      <c r="X16" s="4">
        <f t="shared" ref="X16:X17" si="12">+P16-T16</f>
        <v>-186.33</v>
      </c>
      <c r="Y16" s="4"/>
      <c r="Z16" s="12">
        <f t="shared" ref="Z16:Z17" si="13">IF(T16=0,0,X16/T16)</f>
        <v>-1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186.33</v>
      </c>
      <c r="I17" s="2"/>
      <c r="J17" s="19">
        <f t="shared" si="7"/>
        <v>0.26096638655462184</v>
      </c>
      <c r="K17" s="2"/>
      <c r="L17" s="2">
        <f t="shared" si="8"/>
        <v>-186.33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186.33</v>
      </c>
      <c r="U17" s="2"/>
      <c r="V17" s="19">
        <f t="shared" si="11"/>
        <v>0.26096638655462184</v>
      </c>
      <c r="W17" s="2"/>
      <c r="X17" s="2">
        <f t="shared" si="12"/>
        <v>-186.33</v>
      </c>
      <c r="Y17" s="2"/>
      <c r="Z17" s="19">
        <f t="shared" si="13"/>
        <v>-1</v>
      </c>
    </row>
    <row r="18" spans="1:26" x14ac:dyDescent="0.3">
      <c r="A18" s="9"/>
      <c r="B18" s="10"/>
      <c r="C18" s="10"/>
      <c r="D18" s="3"/>
      <c r="E18" s="3"/>
      <c r="F18" s="6"/>
      <c r="G18" s="3"/>
      <c r="H18" s="3"/>
      <c r="I18" s="3"/>
      <c r="J18" s="6"/>
      <c r="K18" s="3"/>
      <c r="L18" s="3"/>
      <c r="M18" s="3"/>
      <c r="N18" s="6"/>
      <c r="O18" s="10"/>
      <c r="P18" s="3"/>
      <c r="Q18" s="3"/>
      <c r="R18" s="6"/>
      <c r="S18" s="3"/>
      <c r="T18" s="3"/>
      <c r="U18" s="3"/>
      <c r="V18" s="6"/>
      <c r="W18" s="3"/>
      <c r="X18" s="3"/>
      <c r="Y18" s="3"/>
      <c r="Z18" s="6"/>
    </row>
    <row r="19" spans="1:26" s="23" customFormat="1" x14ac:dyDescent="0.3">
      <c r="A19" s="10"/>
      <c r="B19" s="25" t="s">
        <v>107</v>
      </c>
      <c r="C19" s="25"/>
      <c r="D19" s="20">
        <f>D12-D16</f>
        <v>0</v>
      </c>
      <c r="E19" s="13"/>
      <c r="F19" s="22">
        <f>IF(D$12=0,0,D19/D$12)</f>
        <v>0</v>
      </c>
      <c r="G19" s="13"/>
      <c r="H19" s="20">
        <f>H12-H16</f>
        <v>527.66999999999996</v>
      </c>
      <c r="I19" s="13"/>
      <c r="J19" s="22">
        <f>IF(H$12=0,0,H19/H$12)</f>
        <v>0.7390336134453781</v>
      </c>
      <c r="K19" s="15"/>
      <c r="L19" s="20">
        <f>+D19-H19</f>
        <v>-527.66999999999996</v>
      </c>
      <c r="M19" s="15"/>
      <c r="N19" s="22">
        <f>IF(H19=0,0,L19/H19)</f>
        <v>-1</v>
      </c>
      <c r="O19" s="26"/>
      <c r="P19" s="20">
        <f>P12-P16</f>
        <v>0</v>
      </c>
      <c r="Q19" s="13"/>
      <c r="R19" s="22">
        <f>IF(P$12=0,0,P19/P$12)</f>
        <v>0</v>
      </c>
      <c r="S19" s="13"/>
      <c r="T19" s="20">
        <f>T12-T16</f>
        <v>527.66999999999996</v>
      </c>
      <c r="U19" s="13"/>
      <c r="V19" s="22">
        <f>IF(T$12=0,0,T19/T$12)</f>
        <v>0.7390336134453781</v>
      </c>
      <c r="W19" s="15"/>
      <c r="X19" s="20">
        <f>+P19-T19</f>
        <v>-527.66999999999996</v>
      </c>
      <c r="Y19" s="15"/>
      <c r="Z19" s="22">
        <f>IF(T19=0,0,X19/T19)</f>
        <v>-1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6" t="s">
        <v>294</v>
      </c>
      <c r="C21" s="10"/>
      <c r="D21" s="21">
        <f>SUM(OSRRefD22x_0)</f>
        <v>2313.6099999999997</v>
      </c>
      <c r="E21" s="21"/>
      <c r="F21" s="32">
        <f t="shared" ref="F21:F30" si="14">IF(D$12=0,0,D21/D$12)</f>
        <v>0</v>
      </c>
      <c r="G21" s="21"/>
      <c r="H21" s="21">
        <f>SUM(OSRRefH22x_0)</f>
        <v>8104.16</v>
      </c>
      <c r="I21" s="21"/>
      <c r="J21" s="32">
        <f t="shared" ref="J21:J30" si="15">IF(H$12=0,0,H21/H$12)</f>
        <v>11.350364145658263</v>
      </c>
      <c r="K21" s="4"/>
      <c r="L21" s="21">
        <f t="shared" ref="L21:L30" si="16">+D21-H21</f>
        <v>-5790.55</v>
      </c>
      <c r="M21" s="4"/>
      <c r="N21" s="32">
        <f t="shared" ref="N21:N30" si="17">IF(H21=0,0,L21/H21)</f>
        <v>-0.71451575487157215</v>
      </c>
      <c r="O21" s="10"/>
      <c r="P21" s="21">
        <f>SUM(OSRRefP22x_0)</f>
        <v>3498.12</v>
      </c>
      <c r="Q21" s="21"/>
      <c r="R21" s="32">
        <f t="shared" ref="R21:R30" si="18">IF(P$12=0,0,P21/P$12)</f>
        <v>0</v>
      </c>
      <c r="S21" s="21"/>
      <c r="T21" s="21">
        <f>SUM(OSRRefT22x_0)</f>
        <v>13675.210000000001</v>
      </c>
      <c r="U21" s="21"/>
      <c r="V21" s="32">
        <f t="shared" ref="V21:V30" si="19">IF(T$12=0,0,T21/T$12)</f>
        <v>19.15295518207283</v>
      </c>
      <c r="W21" s="4"/>
      <c r="X21" s="21">
        <f t="shared" ref="X21:X30" si="20">+P21-T21</f>
        <v>-10177.09</v>
      </c>
      <c r="Y21" s="4"/>
      <c r="Z21" s="32">
        <f t="shared" ref="Z21:Z30" si="21">IF(T21=0,0,X21/T21)</f>
        <v>-0.74419990625372479</v>
      </c>
    </row>
    <row r="22" spans="1:26" s="28" customFormat="1" outlineLevel="1" collapsed="1" x14ac:dyDescent="0.3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84.99</v>
      </c>
      <c r="E22" s="1"/>
      <c r="F22" s="5">
        <f t="shared" si="14"/>
        <v>0</v>
      </c>
      <c r="G22" s="1"/>
      <c r="H22" s="1">
        <f>SUM(OSRRefH22_0x_0)</f>
        <v>2017.6599999999999</v>
      </c>
      <c r="I22" s="1"/>
      <c r="J22" s="5">
        <f t="shared" si="15"/>
        <v>2.8258543417366946</v>
      </c>
      <c r="K22" s="1"/>
      <c r="L22" s="1">
        <f t="shared" si="16"/>
        <v>-1932.6699999999998</v>
      </c>
      <c r="M22" s="1"/>
      <c r="N22" s="5">
        <f t="shared" si="17"/>
        <v>-0.95787694656185873</v>
      </c>
      <c r="O22" s="14"/>
      <c r="P22" s="1">
        <f>SUM(OSRRefP22_0x_0)</f>
        <v>84.99</v>
      </c>
      <c r="Q22" s="1"/>
      <c r="R22" s="5">
        <f t="shared" si="18"/>
        <v>0</v>
      </c>
      <c r="S22" s="1"/>
      <c r="T22" s="1">
        <f>SUM(OSRRefT22_0x_0)</f>
        <v>2425.34</v>
      </c>
      <c r="U22" s="1"/>
      <c r="V22" s="5">
        <f t="shared" si="19"/>
        <v>3.3968347338935576</v>
      </c>
      <c r="W22" s="1"/>
      <c r="X22" s="1">
        <f t="shared" si="20"/>
        <v>-2340.3500000000004</v>
      </c>
      <c r="Y22" s="1"/>
      <c r="Z22" s="5">
        <f t="shared" si="21"/>
        <v>-0.96495749049617796</v>
      </c>
    </row>
    <row r="23" spans="1:26" s="24" customFormat="1" hidden="1" outlineLevel="2" x14ac:dyDescent="0.3">
      <c r="A23" s="27"/>
      <c r="B23" s="11" t="str">
        <f>CONCATENATE("          ", "6111", " - ", "F.I.C.A.")</f>
        <v xml:space="preserve">          6111 - F.I.C.A.</v>
      </c>
      <c r="C23" s="11"/>
      <c r="D23" s="7">
        <v>6.91</v>
      </c>
      <c r="E23" s="2"/>
      <c r="F23" s="8">
        <f t="shared" si="14"/>
        <v>0</v>
      </c>
      <c r="G23" s="2"/>
      <c r="H23" s="7">
        <v>318.24</v>
      </c>
      <c r="I23" s="2"/>
      <c r="J23" s="8">
        <f t="shared" si="15"/>
        <v>0.44571428571428573</v>
      </c>
      <c r="K23" s="2"/>
      <c r="L23" s="7">
        <f t="shared" si="16"/>
        <v>-311.33</v>
      </c>
      <c r="M23" s="2"/>
      <c r="N23" s="8">
        <f t="shared" si="17"/>
        <v>-0.9782868275515334</v>
      </c>
      <c r="O23" s="11"/>
      <c r="P23" s="7">
        <v>6.91</v>
      </c>
      <c r="Q23" s="2"/>
      <c r="R23" s="8">
        <f t="shared" si="18"/>
        <v>0</v>
      </c>
      <c r="S23" s="2"/>
      <c r="T23" s="7">
        <v>477.36</v>
      </c>
      <c r="U23" s="2"/>
      <c r="V23" s="8">
        <f t="shared" si="19"/>
        <v>0.66857142857142859</v>
      </c>
      <c r="W23" s="2"/>
      <c r="X23" s="7">
        <f t="shared" si="20"/>
        <v>-470.45</v>
      </c>
      <c r="Y23" s="2"/>
      <c r="Z23" s="8">
        <f t="shared" si="21"/>
        <v>-0.98552455170102227</v>
      </c>
    </row>
    <row r="24" spans="1:26" s="24" customFormat="1" hidden="1" outlineLevel="2" x14ac:dyDescent="0.3">
      <c r="A24" s="27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8">
        <f t="shared" si="14"/>
        <v>0</v>
      </c>
      <c r="G24" s="2"/>
      <c r="H24" s="7">
        <v>76.959999999999994</v>
      </c>
      <c r="I24" s="2"/>
      <c r="J24" s="8">
        <f t="shared" si="15"/>
        <v>0.10778711484593836</v>
      </c>
      <c r="K24" s="2"/>
      <c r="L24" s="7">
        <f t="shared" si="16"/>
        <v>-76.959999999999994</v>
      </c>
      <c r="M24" s="2"/>
      <c r="N24" s="8">
        <f t="shared" si="17"/>
        <v>-1</v>
      </c>
      <c r="O24" s="11"/>
      <c r="P24" s="7"/>
      <c r="Q24" s="2"/>
      <c r="R24" s="8">
        <f t="shared" si="18"/>
        <v>0</v>
      </c>
      <c r="S24" s="2"/>
      <c r="T24" s="7">
        <v>153.91999999999999</v>
      </c>
      <c r="U24" s="2"/>
      <c r="V24" s="8">
        <f t="shared" si="19"/>
        <v>0.21557422969187673</v>
      </c>
      <c r="W24" s="2"/>
      <c r="X24" s="7">
        <f t="shared" si="20"/>
        <v>-153.91999999999999</v>
      </c>
      <c r="Y24" s="2"/>
      <c r="Z24" s="8">
        <f t="shared" si="21"/>
        <v>-1</v>
      </c>
    </row>
    <row r="25" spans="1:26" s="24" customFormat="1" hidden="1" outlineLevel="2" x14ac:dyDescent="0.3">
      <c r="A25" s="27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8">
        <f t="shared" si="14"/>
        <v>0</v>
      </c>
      <c r="G25" s="2"/>
      <c r="H25" s="7">
        <v>683.68</v>
      </c>
      <c r="I25" s="2"/>
      <c r="J25" s="8">
        <f t="shared" si="15"/>
        <v>0.95753501400560215</v>
      </c>
      <c r="K25" s="2"/>
      <c r="L25" s="7">
        <f t="shared" si="16"/>
        <v>-683.68</v>
      </c>
      <c r="M25" s="2"/>
      <c r="N25" s="8">
        <f t="shared" si="17"/>
        <v>-1</v>
      </c>
      <c r="O25" s="11"/>
      <c r="P25" s="7"/>
      <c r="Q25" s="2"/>
      <c r="R25" s="8">
        <f t="shared" si="18"/>
        <v>0</v>
      </c>
      <c r="S25" s="2"/>
      <c r="T25" s="7">
        <v>683.68</v>
      </c>
      <c r="U25" s="2"/>
      <c r="V25" s="8">
        <f t="shared" si="19"/>
        <v>0.95753501400560215</v>
      </c>
      <c r="W25" s="2"/>
      <c r="X25" s="7">
        <f t="shared" si="20"/>
        <v>-683.68</v>
      </c>
      <c r="Y25" s="2"/>
      <c r="Z25" s="8">
        <f t="shared" si="21"/>
        <v>-1</v>
      </c>
    </row>
    <row r="26" spans="1:26" s="24" customFormat="1" hidden="1" outlineLevel="2" x14ac:dyDescent="0.3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8">
        <f t="shared" si="14"/>
        <v>0</v>
      </c>
      <c r="G26" s="2"/>
      <c r="H26" s="7">
        <v>10.82</v>
      </c>
      <c r="I26" s="2"/>
      <c r="J26" s="8">
        <f t="shared" si="15"/>
        <v>1.515406162464986E-2</v>
      </c>
      <c r="K26" s="2"/>
      <c r="L26" s="7">
        <f t="shared" si="16"/>
        <v>-10.82</v>
      </c>
      <c r="M26" s="2"/>
      <c r="N26" s="8">
        <f t="shared" si="17"/>
        <v>-1</v>
      </c>
      <c r="O26" s="11"/>
      <c r="P26" s="7"/>
      <c r="Q26" s="2"/>
      <c r="R26" s="8">
        <f t="shared" si="18"/>
        <v>0</v>
      </c>
      <c r="S26" s="2"/>
      <c r="T26" s="7">
        <v>21.64</v>
      </c>
      <c r="U26" s="2"/>
      <c r="V26" s="8">
        <f t="shared" si="19"/>
        <v>3.0308123249299719E-2</v>
      </c>
      <c r="W26" s="2"/>
      <c r="X26" s="7">
        <f t="shared" si="20"/>
        <v>-21.64</v>
      </c>
      <c r="Y26" s="2"/>
      <c r="Z26" s="8">
        <f t="shared" si="21"/>
        <v>-1</v>
      </c>
    </row>
    <row r="27" spans="1:26" s="24" customFormat="1" hidden="1" outlineLevel="2" x14ac:dyDescent="0.3">
      <c r="A27" s="27"/>
      <c r="B27" s="11" t="str">
        <f>CONCATENATE("          ", "6115", " - ", "P.E.R.S.")</f>
        <v xml:space="preserve">          6115 - P.E.R.S.</v>
      </c>
      <c r="C27" s="11"/>
      <c r="D27" s="7"/>
      <c r="E27" s="2"/>
      <c r="F27" s="8">
        <f t="shared" si="14"/>
        <v>0</v>
      </c>
      <c r="G27" s="2"/>
      <c r="H27" s="7">
        <v>321.57</v>
      </c>
      <c r="I27" s="2"/>
      <c r="J27" s="8">
        <f t="shared" si="15"/>
        <v>0.45037815126050418</v>
      </c>
      <c r="K27" s="2"/>
      <c r="L27" s="7">
        <f t="shared" si="16"/>
        <v>-321.57</v>
      </c>
      <c r="M27" s="2"/>
      <c r="N27" s="8">
        <f t="shared" si="17"/>
        <v>-1</v>
      </c>
      <c r="O27" s="11"/>
      <c r="P27" s="7"/>
      <c r="Q27" s="2"/>
      <c r="R27" s="8">
        <f t="shared" si="18"/>
        <v>0</v>
      </c>
      <c r="S27" s="2"/>
      <c r="T27" s="7">
        <v>482.35</v>
      </c>
      <c r="U27" s="2"/>
      <c r="V27" s="8">
        <f t="shared" si="19"/>
        <v>0.6755602240896359</v>
      </c>
      <c r="W27" s="2"/>
      <c r="X27" s="7">
        <f t="shared" si="20"/>
        <v>-482.35</v>
      </c>
      <c r="Y27" s="2"/>
      <c r="Z27" s="8">
        <f t="shared" si="21"/>
        <v>-1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7"/>
      <c r="E28" s="2"/>
      <c r="F28" s="8">
        <f t="shared" si="14"/>
        <v>0</v>
      </c>
      <c r="G28" s="2"/>
      <c r="H28" s="7">
        <v>239.72</v>
      </c>
      <c r="I28" s="2"/>
      <c r="J28" s="8">
        <f t="shared" si="15"/>
        <v>0.3357422969187675</v>
      </c>
      <c r="K28" s="2"/>
      <c r="L28" s="7">
        <f t="shared" si="16"/>
        <v>-239.72</v>
      </c>
      <c r="M28" s="2"/>
      <c r="N28" s="8">
        <f t="shared" si="17"/>
        <v>-1</v>
      </c>
      <c r="O28" s="11"/>
      <c r="P28" s="7"/>
      <c r="Q28" s="2"/>
      <c r="R28" s="8">
        <f t="shared" si="18"/>
        <v>0</v>
      </c>
      <c r="S28" s="2"/>
      <c r="T28" s="7">
        <v>239.72</v>
      </c>
      <c r="U28" s="2"/>
      <c r="V28" s="8">
        <f t="shared" si="19"/>
        <v>0.3357422969187675</v>
      </c>
      <c r="W28" s="2"/>
      <c r="X28" s="7">
        <f t="shared" si="20"/>
        <v>-239.72</v>
      </c>
      <c r="Y28" s="2"/>
      <c r="Z28" s="8">
        <f t="shared" si="21"/>
        <v>-1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7"/>
      <c r="E29" s="2"/>
      <c r="F29" s="8">
        <f t="shared" si="14"/>
        <v>0</v>
      </c>
      <c r="G29" s="2"/>
      <c r="H29" s="7">
        <v>191.88</v>
      </c>
      <c r="I29" s="2"/>
      <c r="J29" s="8">
        <f t="shared" si="15"/>
        <v>0.26873949579831929</v>
      </c>
      <c r="K29" s="2"/>
      <c r="L29" s="7">
        <f t="shared" si="16"/>
        <v>-191.88</v>
      </c>
      <c r="M29" s="2"/>
      <c r="N29" s="8">
        <f t="shared" si="17"/>
        <v>-1</v>
      </c>
      <c r="O29" s="11"/>
      <c r="P29" s="7"/>
      <c r="Q29" s="2"/>
      <c r="R29" s="8">
        <f t="shared" si="18"/>
        <v>0</v>
      </c>
      <c r="S29" s="2"/>
      <c r="T29" s="7">
        <v>191.88</v>
      </c>
      <c r="U29" s="2"/>
      <c r="V29" s="8">
        <f t="shared" si="19"/>
        <v>0.26873949579831929</v>
      </c>
      <c r="W29" s="2"/>
      <c r="X29" s="7">
        <f t="shared" si="20"/>
        <v>-191.88</v>
      </c>
      <c r="Y29" s="2"/>
      <c r="Z29" s="8">
        <f t="shared" si="21"/>
        <v>-1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7">
        <v>78.08</v>
      </c>
      <c r="E30" s="2"/>
      <c r="F30" s="8">
        <f t="shared" si="14"/>
        <v>0</v>
      </c>
      <c r="G30" s="2"/>
      <c r="H30" s="7">
        <v>174.79</v>
      </c>
      <c r="I30" s="2"/>
      <c r="J30" s="8">
        <f t="shared" si="15"/>
        <v>0.24480392156862743</v>
      </c>
      <c r="K30" s="2"/>
      <c r="L30" s="7">
        <f t="shared" si="16"/>
        <v>-96.71</v>
      </c>
      <c r="M30" s="2"/>
      <c r="N30" s="8">
        <f t="shared" si="17"/>
        <v>-0.55329252245551808</v>
      </c>
      <c r="O30" s="11"/>
      <c r="P30" s="7">
        <v>78.08</v>
      </c>
      <c r="Q30" s="2"/>
      <c r="R30" s="8">
        <f t="shared" si="18"/>
        <v>0</v>
      </c>
      <c r="S30" s="2"/>
      <c r="T30" s="7">
        <v>174.79</v>
      </c>
      <c r="U30" s="2"/>
      <c r="V30" s="8">
        <f t="shared" si="19"/>
        <v>0.24480392156862743</v>
      </c>
      <c r="W30" s="2"/>
      <c r="X30" s="7">
        <f t="shared" si="20"/>
        <v>-96.71</v>
      </c>
      <c r="Y30" s="2"/>
      <c r="Z30" s="8">
        <f t="shared" si="21"/>
        <v>-0.55329252245551808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90.3</v>
      </c>
      <c r="E31" s="1"/>
      <c r="F31" s="5">
        <f t="shared" ref="F31:F34" si="22">IF(D$12=0,0,D31/D$12)</f>
        <v>0</v>
      </c>
      <c r="G31" s="1"/>
      <c r="H31" s="1">
        <f>SUM(OSRRefH22_1x_0)</f>
        <v>4607</v>
      </c>
      <c r="I31" s="1"/>
      <c r="J31" s="5">
        <f t="shared" ref="J31:J34" si="23">IF(H$12=0,0,H31/H$12)</f>
        <v>6.4523809523809526</v>
      </c>
      <c r="K31" s="1"/>
      <c r="L31" s="1">
        <f t="shared" ref="L31:L34" si="24">+D31-H31</f>
        <v>-4516.7</v>
      </c>
      <c r="M31" s="1"/>
      <c r="N31" s="5">
        <f t="shared" ref="N31:N34" si="25">IF(H31=0,0,L31/H31)</f>
        <v>-0.98039939222921635</v>
      </c>
      <c r="O31" s="14"/>
      <c r="P31" s="1">
        <f>SUM(OSRRefP22_1x_0)</f>
        <v>90.3</v>
      </c>
      <c r="Q31" s="1"/>
      <c r="R31" s="5">
        <f t="shared" ref="R31:R34" si="26">IF(P$12=0,0,P31/P$12)</f>
        <v>0</v>
      </c>
      <c r="S31" s="1"/>
      <c r="T31" s="1">
        <f>SUM(OSRRefT22_1x_0)</f>
        <v>7727</v>
      </c>
      <c r="U31" s="1"/>
      <c r="V31" s="5">
        <f t="shared" ref="V31:V34" si="27">IF(T$12=0,0,T31/T$12)</f>
        <v>10.822128851540617</v>
      </c>
      <c r="W31" s="1"/>
      <c r="X31" s="1">
        <f t="shared" ref="X31:X34" si="28">+P31-T31</f>
        <v>-7636.7</v>
      </c>
      <c r="Y31" s="1"/>
      <c r="Z31" s="5">
        <f t="shared" ref="Z31:Z34" si="29">IF(T31=0,0,X31/T31)</f>
        <v>-0.98831370518959494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8">
        <f t="shared" si="22"/>
        <v>0</v>
      </c>
      <c r="G32" s="2"/>
      <c r="H32" s="7">
        <v>3952</v>
      </c>
      <c r="I32" s="2"/>
      <c r="J32" s="8">
        <f t="shared" si="23"/>
        <v>5.5350140056022408</v>
      </c>
      <c r="K32" s="2"/>
      <c r="L32" s="7">
        <f t="shared" si="24"/>
        <v>-3952</v>
      </c>
      <c r="M32" s="2"/>
      <c r="N32" s="8">
        <f t="shared" si="25"/>
        <v>-1</v>
      </c>
      <c r="O32" s="11"/>
      <c r="P32" s="7"/>
      <c r="Q32" s="2"/>
      <c r="R32" s="8">
        <f t="shared" si="26"/>
        <v>0</v>
      </c>
      <c r="S32" s="2"/>
      <c r="T32" s="7">
        <v>7072</v>
      </c>
      <c r="U32" s="2"/>
      <c r="V32" s="8">
        <f t="shared" si="27"/>
        <v>9.9047619047619051</v>
      </c>
      <c r="W32" s="2"/>
      <c r="X32" s="7">
        <f t="shared" si="28"/>
        <v>-7072</v>
      </c>
      <c r="Y32" s="2"/>
      <c r="Z32" s="8">
        <f t="shared" si="29"/>
        <v>-1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90.3</v>
      </c>
      <c r="E33" s="2"/>
      <c r="F33" s="8">
        <f t="shared" si="22"/>
        <v>0</v>
      </c>
      <c r="G33" s="2"/>
      <c r="H33" s="7"/>
      <c r="I33" s="2"/>
      <c r="J33" s="8">
        <f t="shared" si="23"/>
        <v>0</v>
      </c>
      <c r="K33" s="2"/>
      <c r="L33" s="7">
        <f t="shared" si="24"/>
        <v>90.3</v>
      </c>
      <c r="M33" s="2"/>
      <c r="N33" s="8">
        <f t="shared" si="25"/>
        <v>0</v>
      </c>
      <c r="O33" s="11"/>
      <c r="P33" s="7">
        <v>90.3</v>
      </c>
      <c r="Q33" s="2"/>
      <c r="R33" s="8">
        <f t="shared" si="26"/>
        <v>0</v>
      </c>
      <c r="S33" s="2"/>
      <c r="T33" s="7"/>
      <c r="U33" s="2"/>
      <c r="V33" s="8">
        <f t="shared" si="27"/>
        <v>0</v>
      </c>
      <c r="W33" s="2"/>
      <c r="X33" s="7">
        <f t="shared" si="28"/>
        <v>90.3</v>
      </c>
      <c r="Y33" s="2"/>
      <c r="Z33" s="8">
        <f t="shared" si="29"/>
        <v>0</v>
      </c>
    </row>
    <row r="34" spans="1:26" s="24" customFormat="1" hidden="1" outlineLevel="2" x14ac:dyDescent="0.3">
      <c r="A34" s="27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8">
        <f t="shared" si="22"/>
        <v>0</v>
      </c>
      <c r="G34" s="2"/>
      <c r="H34" s="7">
        <v>655</v>
      </c>
      <c r="I34" s="2"/>
      <c r="J34" s="8">
        <f t="shared" si="23"/>
        <v>0.91736694677871145</v>
      </c>
      <c r="K34" s="2"/>
      <c r="L34" s="7">
        <f t="shared" si="24"/>
        <v>-655</v>
      </c>
      <c r="M34" s="2"/>
      <c r="N34" s="8">
        <f t="shared" si="25"/>
        <v>-1</v>
      </c>
      <c r="O34" s="11"/>
      <c r="P34" s="7"/>
      <c r="Q34" s="2"/>
      <c r="R34" s="8">
        <f t="shared" si="26"/>
        <v>0</v>
      </c>
      <c r="S34" s="2"/>
      <c r="T34" s="7">
        <v>655</v>
      </c>
      <c r="U34" s="2"/>
      <c r="V34" s="8">
        <f t="shared" si="27"/>
        <v>0.91736694677871145</v>
      </c>
      <c r="W34" s="2"/>
      <c r="X34" s="7">
        <f t="shared" si="28"/>
        <v>-655</v>
      </c>
      <c r="Y34" s="2"/>
      <c r="Z34" s="8">
        <f t="shared" si="29"/>
        <v>-1</v>
      </c>
    </row>
    <row r="35" spans="1:26" s="28" customFormat="1" outlineLevel="1" collapsed="1" x14ac:dyDescent="0.3">
      <c r="A35" s="29"/>
      <c r="B35" s="14" t="str">
        <f>CONCATENATE("     ","Bad Debts/Over/Short                              ")</f>
        <v xml:space="preserve">     Bad Debts/Over/Short                              </v>
      </c>
      <c r="C35" s="14"/>
      <c r="D35" s="1">
        <f>SUM(OSRRefD22_2x_0)</f>
        <v>0</v>
      </c>
      <c r="E35" s="1"/>
      <c r="F35" s="5">
        <f t="shared" ref="F35:F45" si="30">IF(D$12=0,0,D35/D$12)</f>
        <v>0</v>
      </c>
      <c r="G35" s="1"/>
      <c r="H35" s="1">
        <f>SUM(OSRRefH22_2x_0)</f>
        <v>3.75</v>
      </c>
      <c r="I35" s="1"/>
      <c r="J35" s="5">
        <f t="shared" ref="J35:J45" si="31">IF(H$12=0,0,H35/H$12)</f>
        <v>5.2521008403361349E-3</v>
      </c>
      <c r="K35" s="1"/>
      <c r="L35" s="1">
        <f t="shared" ref="L35:L45" si="32">+D35-H35</f>
        <v>-3.75</v>
      </c>
      <c r="M35" s="1"/>
      <c r="N35" s="5">
        <f t="shared" ref="N35:N45" si="33">IF(H35=0,0,L35/H35)</f>
        <v>-1</v>
      </c>
      <c r="O35" s="14"/>
      <c r="P35" s="1">
        <f>SUM(OSRRefP22_2x_0)</f>
        <v>0</v>
      </c>
      <c r="Q35" s="1"/>
      <c r="R35" s="5">
        <f t="shared" ref="R35:R45" si="34">IF(P$12=0,0,P35/P$12)</f>
        <v>0</v>
      </c>
      <c r="S35" s="1"/>
      <c r="T35" s="1">
        <f>SUM(OSRRefT22_2x_0)</f>
        <v>3.75</v>
      </c>
      <c r="U35" s="1"/>
      <c r="V35" s="5">
        <f t="shared" ref="V35:V45" si="35">IF(T$12=0,0,T35/T$12)</f>
        <v>5.2521008403361349E-3</v>
      </c>
      <c r="W35" s="1"/>
      <c r="X35" s="1">
        <f t="shared" ref="X35:X45" si="36">+P35-T35</f>
        <v>-3.75</v>
      </c>
      <c r="Y35" s="1"/>
      <c r="Z35" s="5">
        <f t="shared" ref="Z35:Z45" si="37">IF(T35=0,0,X35/T35)</f>
        <v>-1</v>
      </c>
    </row>
    <row r="36" spans="1:26" s="24" customFormat="1" hidden="1" outlineLevel="2" x14ac:dyDescent="0.3">
      <c r="A36" s="27"/>
      <c r="B36" s="11" t="str">
        <f>CONCATENATE("          ", "6272", " - ", "CASH (OVER/SHORT)")</f>
        <v xml:space="preserve">          6272 - CASH (OVER/SHORT)</v>
      </c>
      <c r="C36" s="11"/>
      <c r="D36" s="7"/>
      <c r="E36" s="2"/>
      <c r="F36" s="8">
        <f t="shared" si="30"/>
        <v>0</v>
      </c>
      <c r="G36" s="2"/>
      <c r="H36" s="7">
        <v>3.75</v>
      </c>
      <c r="I36" s="2"/>
      <c r="J36" s="8">
        <f t="shared" si="31"/>
        <v>5.2521008403361349E-3</v>
      </c>
      <c r="K36" s="2"/>
      <c r="L36" s="7">
        <f t="shared" si="32"/>
        <v>-3.75</v>
      </c>
      <c r="M36" s="2"/>
      <c r="N36" s="8">
        <f t="shared" si="33"/>
        <v>-1</v>
      </c>
      <c r="O36" s="11"/>
      <c r="P36" s="7"/>
      <c r="Q36" s="2"/>
      <c r="R36" s="8">
        <f t="shared" si="34"/>
        <v>0</v>
      </c>
      <c r="S36" s="2"/>
      <c r="T36" s="7">
        <v>3.75</v>
      </c>
      <c r="U36" s="2"/>
      <c r="V36" s="8">
        <f t="shared" si="35"/>
        <v>5.2521008403361349E-3</v>
      </c>
      <c r="W36" s="2"/>
      <c r="X36" s="7">
        <f t="shared" si="36"/>
        <v>-3.75</v>
      </c>
      <c r="Y36" s="2"/>
      <c r="Z36" s="8">
        <f t="shared" si="37"/>
        <v>-1</v>
      </c>
    </row>
    <row r="37" spans="1:26" s="28" customFormat="1" outlineLevel="1" collapsed="1" x14ac:dyDescent="0.3">
      <c r="A37" s="29"/>
      <c r="B37" s="14" t="str">
        <f>CONCATENATE("     ","Bank/card Fees                                    ")</f>
        <v xml:space="preserve">     Bank/card Fees                                    </v>
      </c>
      <c r="C37" s="14"/>
      <c r="D37" s="1">
        <f>SUM(OSRRefD22_3x_0)</f>
        <v>100.34</v>
      </c>
      <c r="E37" s="1"/>
      <c r="F37" s="5">
        <f t="shared" si="30"/>
        <v>0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100.34</v>
      </c>
      <c r="M37" s="1"/>
      <c r="N37" s="5">
        <f t="shared" si="33"/>
        <v>0</v>
      </c>
      <c r="O37" s="14"/>
      <c r="P37" s="1">
        <f>SUM(OSRRefP22_3x_0)</f>
        <v>175.46</v>
      </c>
      <c r="Q37" s="1"/>
      <c r="R37" s="5">
        <f t="shared" si="34"/>
        <v>0</v>
      </c>
      <c r="S37" s="1"/>
      <c r="T37" s="1">
        <f>SUM(OSRRefT22_3x_0)</f>
        <v>0</v>
      </c>
      <c r="U37" s="1"/>
      <c r="V37" s="5">
        <f t="shared" si="35"/>
        <v>0</v>
      </c>
      <c r="W37" s="1"/>
      <c r="X37" s="1">
        <f t="shared" si="36"/>
        <v>175.46</v>
      </c>
      <c r="Y37" s="1"/>
      <c r="Z37" s="5">
        <f t="shared" si="37"/>
        <v>0</v>
      </c>
    </row>
    <row r="38" spans="1:26" s="24" customFormat="1" hidden="1" outlineLevel="2" x14ac:dyDescent="0.3">
      <c r="A38" s="27"/>
      <c r="B38" s="11" t="str">
        <f>CONCATENATE("          ", "6381", " - ", "BANK/CREDIT CARD FEES")</f>
        <v xml:space="preserve">          6381 - BANK/CREDIT CARD FEES</v>
      </c>
      <c r="C38" s="11"/>
      <c r="D38" s="7">
        <v>100.34</v>
      </c>
      <c r="E38" s="2"/>
      <c r="F38" s="8">
        <f t="shared" si="30"/>
        <v>0</v>
      </c>
      <c r="G38" s="2"/>
      <c r="H38" s="7"/>
      <c r="I38" s="2"/>
      <c r="J38" s="8">
        <f t="shared" si="31"/>
        <v>0</v>
      </c>
      <c r="K38" s="2"/>
      <c r="L38" s="7">
        <f t="shared" si="32"/>
        <v>100.34</v>
      </c>
      <c r="M38" s="2"/>
      <c r="N38" s="8">
        <f t="shared" si="33"/>
        <v>0</v>
      </c>
      <c r="O38" s="11"/>
      <c r="P38" s="7">
        <v>175.46</v>
      </c>
      <c r="Q38" s="2"/>
      <c r="R38" s="8">
        <f t="shared" si="34"/>
        <v>0</v>
      </c>
      <c r="S38" s="2"/>
      <c r="T38" s="7"/>
      <c r="U38" s="2"/>
      <c r="V38" s="8">
        <f t="shared" si="35"/>
        <v>0</v>
      </c>
      <c r="W38" s="2"/>
      <c r="X38" s="7">
        <f t="shared" si="36"/>
        <v>175.46</v>
      </c>
      <c r="Y38" s="2"/>
      <c r="Z38" s="8">
        <f t="shared" si="37"/>
        <v>0</v>
      </c>
    </row>
    <row r="39" spans="1:26" s="28" customFormat="1" outlineLevel="1" collapsed="1" x14ac:dyDescent="0.3">
      <c r="A39" s="29"/>
      <c r="B39" s="14" t="str">
        <f>CONCATENATE("     ","Depreciation                                      ")</f>
        <v xml:space="preserve">     Depreciation                                      </v>
      </c>
      <c r="C39" s="14"/>
      <c r="D39" s="1">
        <f>SUM(OSRRefD22_4x_0)</f>
        <v>1075.3900000000001</v>
      </c>
      <c r="E39" s="1"/>
      <c r="F39" s="5">
        <f t="shared" si="30"/>
        <v>0</v>
      </c>
      <c r="G39" s="1"/>
      <c r="H39" s="1">
        <f>SUM(OSRRefH22_4x_0)</f>
        <v>1075.3699999999999</v>
      </c>
      <c r="I39" s="1"/>
      <c r="J39" s="5">
        <f t="shared" si="31"/>
        <v>1.5061204481792716</v>
      </c>
      <c r="K39" s="1"/>
      <c r="L39" s="1">
        <f t="shared" si="32"/>
        <v>2.0000000000209184E-2</v>
      </c>
      <c r="M39" s="1"/>
      <c r="N39" s="5">
        <f t="shared" si="33"/>
        <v>1.8598249904878492E-5</v>
      </c>
      <c r="O39" s="14"/>
      <c r="P39" s="1">
        <f>SUM(OSRRefP22_4x_0)</f>
        <v>2150.7800000000002</v>
      </c>
      <c r="Q39" s="1"/>
      <c r="R39" s="5">
        <f t="shared" si="34"/>
        <v>0</v>
      </c>
      <c r="S39" s="1"/>
      <c r="T39" s="1">
        <f>SUM(OSRRefT22_4x_0)</f>
        <v>2150.7399999999998</v>
      </c>
      <c r="U39" s="1"/>
      <c r="V39" s="5">
        <f t="shared" si="35"/>
        <v>3.0122408963585432</v>
      </c>
      <c r="W39" s="1"/>
      <c r="X39" s="1">
        <f t="shared" si="36"/>
        <v>4.0000000000418368E-2</v>
      </c>
      <c r="Y39" s="1"/>
      <c r="Z39" s="5">
        <f t="shared" si="37"/>
        <v>1.8598249904878492E-5</v>
      </c>
    </row>
    <row r="40" spans="1:26" s="24" customFormat="1" hidden="1" outlineLevel="2" x14ac:dyDescent="0.3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1075.3900000000001</v>
      </c>
      <c r="E40" s="2"/>
      <c r="F40" s="8">
        <f t="shared" si="30"/>
        <v>0</v>
      </c>
      <c r="G40" s="2"/>
      <c r="H40" s="7">
        <v>1075.3699999999999</v>
      </c>
      <c r="I40" s="2"/>
      <c r="J40" s="8">
        <f t="shared" si="31"/>
        <v>1.5061204481792716</v>
      </c>
      <c r="K40" s="2"/>
      <c r="L40" s="7">
        <f t="shared" si="32"/>
        <v>2.0000000000209184E-2</v>
      </c>
      <c r="M40" s="2"/>
      <c r="N40" s="8">
        <f t="shared" si="33"/>
        <v>1.8598249904878492E-5</v>
      </c>
      <c r="O40" s="11"/>
      <c r="P40" s="7">
        <v>2150.7800000000002</v>
      </c>
      <c r="Q40" s="2"/>
      <c r="R40" s="8">
        <f t="shared" si="34"/>
        <v>0</v>
      </c>
      <c r="S40" s="2"/>
      <c r="T40" s="7">
        <v>2150.7399999999998</v>
      </c>
      <c r="U40" s="2"/>
      <c r="V40" s="8">
        <f t="shared" si="35"/>
        <v>3.0122408963585432</v>
      </c>
      <c r="W40" s="2"/>
      <c r="X40" s="7">
        <f t="shared" si="36"/>
        <v>4.0000000000418368E-2</v>
      </c>
      <c r="Y40" s="2"/>
      <c r="Z40" s="8">
        <f t="shared" si="37"/>
        <v>1.8598249904878492E-5</v>
      </c>
    </row>
    <row r="41" spans="1:26" s="28" customFormat="1" outlineLevel="1" collapsed="1" x14ac:dyDescent="0.3">
      <c r="A41" s="29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SUM(OSRRefD22_5x_0)</f>
        <v>769.55</v>
      </c>
      <c r="E41" s="1"/>
      <c r="F41" s="5">
        <f t="shared" si="30"/>
        <v>0</v>
      </c>
      <c r="G41" s="1"/>
      <c r="H41" s="1">
        <f>SUM(OSRRefH22_5x_0)</f>
        <v>0</v>
      </c>
      <c r="I41" s="1"/>
      <c r="J41" s="5">
        <f t="shared" si="31"/>
        <v>0</v>
      </c>
      <c r="K41" s="1"/>
      <c r="L41" s="1">
        <f t="shared" si="32"/>
        <v>769.55</v>
      </c>
      <c r="M41" s="1"/>
      <c r="N41" s="5">
        <f t="shared" si="33"/>
        <v>0</v>
      </c>
      <c r="O41" s="14"/>
      <c r="P41" s="1">
        <f>SUM(OSRRefP22_5x_0)</f>
        <v>769.55</v>
      </c>
      <c r="Q41" s="1"/>
      <c r="R41" s="5">
        <f t="shared" si="34"/>
        <v>0</v>
      </c>
      <c r="S41" s="1"/>
      <c r="T41" s="1">
        <f>SUM(OSRRefT22_5x_0)</f>
        <v>754.55</v>
      </c>
      <c r="U41" s="1"/>
      <c r="V41" s="5">
        <f t="shared" si="35"/>
        <v>1.0567927170868348</v>
      </c>
      <c r="W41" s="1"/>
      <c r="X41" s="1">
        <f t="shared" si="36"/>
        <v>15</v>
      </c>
      <c r="Y41" s="1"/>
      <c r="Z41" s="5">
        <f t="shared" si="37"/>
        <v>1.987939831687761E-2</v>
      </c>
    </row>
    <row r="42" spans="1:26" s="24" customFormat="1" hidden="1" outlineLevel="2" x14ac:dyDescent="0.3">
      <c r="A42" s="27"/>
      <c r="B42" s="11" t="str">
        <f>CONCATENATE("          ", "6279", " - ", "GENERAL EXPENSE")</f>
        <v xml:space="preserve">          6279 - GENERAL EXPENSE</v>
      </c>
      <c r="C42" s="11"/>
      <c r="D42" s="7">
        <v>769.55</v>
      </c>
      <c r="E42" s="2"/>
      <c r="F42" s="8">
        <f t="shared" si="30"/>
        <v>0</v>
      </c>
      <c r="G42" s="2"/>
      <c r="H42" s="7"/>
      <c r="I42" s="2"/>
      <c r="J42" s="8">
        <f t="shared" si="31"/>
        <v>0</v>
      </c>
      <c r="K42" s="2"/>
      <c r="L42" s="7">
        <f t="shared" si="32"/>
        <v>769.55</v>
      </c>
      <c r="M42" s="2"/>
      <c r="N42" s="8">
        <f t="shared" si="33"/>
        <v>0</v>
      </c>
      <c r="O42" s="11"/>
      <c r="P42" s="7">
        <v>769.55</v>
      </c>
      <c r="Q42" s="2"/>
      <c r="R42" s="8">
        <f t="shared" si="34"/>
        <v>0</v>
      </c>
      <c r="S42" s="2"/>
      <c r="T42" s="7">
        <v>754.55</v>
      </c>
      <c r="U42" s="2"/>
      <c r="V42" s="8">
        <f t="shared" si="35"/>
        <v>1.0567927170868348</v>
      </c>
      <c r="W42" s="2"/>
      <c r="X42" s="7">
        <f t="shared" si="36"/>
        <v>15</v>
      </c>
      <c r="Y42" s="2"/>
      <c r="Z42" s="8">
        <f t="shared" si="37"/>
        <v>1.987939831687761E-2</v>
      </c>
    </row>
    <row r="43" spans="1:26" s="28" customFormat="1" outlineLevel="1" collapsed="1" x14ac:dyDescent="0.3">
      <c r="A43" s="29"/>
      <c r="B43" s="14" t="str">
        <f>CONCATENATE("     ","Repair and Maintenance                            ")</f>
        <v xml:space="preserve">     Repair and Maintenance                            </v>
      </c>
      <c r="C43" s="14"/>
      <c r="D43" s="1">
        <f>SUM(OSRRefD22_6x_0)</f>
        <v>0</v>
      </c>
      <c r="E43" s="1"/>
      <c r="F43" s="5">
        <f t="shared" si="30"/>
        <v>0</v>
      </c>
      <c r="G43" s="1"/>
      <c r="H43" s="1">
        <f>SUM(OSRRefH22_6x_0)</f>
        <v>168.6</v>
      </c>
      <c r="I43" s="1"/>
      <c r="J43" s="5">
        <f t="shared" si="31"/>
        <v>0.2361344537815126</v>
      </c>
      <c r="K43" s="1"/>
      <c r="L43" s="1">
        <f t="shared" si="32"/>
        <v>-168.6</v>
      </c>
      <c r="M43" s="1"/>
      <c r="N43" s="5">
        <f t="shared" si="33"/>
        <v>-1</v>
      </c>
      <c r="O43" s="14"/>
      <c r="P43" s="1">
        <f>SUM(OSRRefP22_6x_0)</f>
        <v>0</v>
      </c>
      <c r="Q43" s="1"/>
      <c r="R43" s="5">
        <f t="shared" si="34"/>
        <v>0</v>
      </c>
      <c r="S43" s="1"/>
      <c r="T43" s="1">
        <f>SUM(OSRRefT22_6x_0)</f>
        <v>168.6</v>
      </c>
      <c r="U43" s="1"/>
      <c r="V43" s="5">
        <f t="shared" si="35"/>
        <v>0.2361344537815126</v>
      </c>
      <c r="W43" s="1"/>
      <c r="X43" s="1">
        <f t="shared" si="36"/>
        <v>-168.6</v>
      </c>
      <c r="Y43" s="1"/>
      <c r="Z43" s="5">
        <f t="shared" si="37"/>
        <v>-1</v>
      </c>
    </row>
    <row r="44" spans="1:26" s="24" customFormat="1" hidden="1" outlineLevel="2" x14ac:dyDescent="0.3">
      <c r="A44" s="27"/>
      <c r="B44" s="11" t="str">
        <f>CONCATENATE("          ", "6373", " - ", "MAINTENANCE CONTRACTS")</f>
        <v xml:space="preserve">          6373 - MAINTENANCE CONTRACTS</v>
      </c>
      <c r="C44" s="11"/>
      <c r="D44" s="7"/>
      <c r="E44" s="2"/>
      <c r="F44" s="8">
        <f t="shared" si="30"/>
        <v>0</v>
      </c>
      <c r="G44" s="2"/>
      <c r="H44" s="7">
        <v>78.599999999999994</v>
      </c>
      <c r="I44" s="2"/>
      <c r="J44" s="8">
        <f t="shared" si="31"/>
        <v>0.11008403361344538</v>
      </c>
      <c r="K44" s="2"/>
      <c r="L44" s="7">
        <f t="shared" si="32"/>
        <v>-78.599999999999994</v>
      </c>
      <c r="M44" s="2"/>
      <c r="N44" s="8">
        <f t="shared" si="33"/>
        <v>-1</v>
      </c>
      <c r="O44" s="11"/>
      <c r="P44" s="7"/>
      <c r="Q44" s="2"/>
      <c r="R44" s="8">
        <f t="shared" si="34"/>
        <v>0</v>
      </c>
      <c r="S44" s="2"/>
      <c r="T44" s="7">
        <v>78.599999999999994</v>
      </c>
      <c r="U44" s="2"/>
      <c r="V44" s="8">
        <f t="shared" si="35"/>
        <v>0.11008403361344538</v>
      </c>
      <c r="W44" s="2"/>
      <c r="X44" s="7">
        <f t="shared" si="36"/>
        <v>-78.599999999999994</v>
      </c>
      <c r="Y44" s="2"/>
      <c r="Z44" s="8">
        <f t="shared" si="37"/>
        <v>-1</v>
      </c>
    </row>
    <row r="45" spans="1:26" s="24" customFormat="1" hidden="1" outlineLevel="2" x14ac:dyDescent="0.3">
      <c r="A45" s="27"/>
      <c r="B45" s="11" t="str">
        <f>CONCATENATE("          ", "6375", " - ", "OUTSIDE REPAIRS &amp; MAINTENANCE")</f>
        <v xml:space="preserve">          6375 - OUTSIDE REPAIRS &amp; MAINTENANCE</v>
      </c>
      <c r="C45" s="11"/>
      <c r="D45" s="7"/>
      <c r="E45" s="2"/>
      <c r="F45" s="8">
        <f t="shared" si="30"/>
        <v>0</v>
      </c>
      <c r="G45" s="2"/>
      <c r="H45" s="7">
        <v>90</v>
      </c>
      <c r="I45" s="2"/>
      <c r="J45" s="8">
        <f t="shared" si="31"/>
        <v>0.12605042016806722</v>
      </c>
      <c r="K45" s="2"/>
      <c r="L45" s="7">
        <f t="shared" si="32"/>
        <v>-90</v>
      </c>
      <c r="M45" s="2"/>
      <c r="N45" s="8">
        <f t="shared" si="33"/>
        <v>-1</v>
      </c>
      <c r="O45" s="11"/>
      <c r="P45" s="7"/>
      <c r="Q45" s="2"/>
      <c r="R45" s="8">
        <f t="shared" si="34"/>
        <v>0</v>
      </c>
      <c r="S45" s="2"/>
      <c r="T45" s="7">
        <v>90</v>
      </c>
      <c r="U45" s="2"/>
      <c r="V45" s="8">
        <f t="shared" si="35"/>
        <v>0.12605042016806722</v>
      </c>
      <c r="W45" s="2"/>
      <c r="X45" s="7">
        <f t="shared" si="36"/>
        <v>-90</v>
      </c>
      <c r="Y45" s="2"/>
      <c r="Z45" s="8">
        <f t="shared" si="37"/>
        <v>-1</v>
      </c>
    </row>
    <row r="46" spans="1:26" s="28" customFormat="1" outlineLevel="1" collapsed="1" x14ac:dyDescent="0.3">
      <c r="A46" s="29"/>
      <c r="B46" s="14" t="str">
        <f>CONCATENATE("     ","Services                                          ")</f>
        <v xml:space="preserve">     Services                                          </v>
      </c>
      <c r="C46" s="14"/>
      <c r="D46" s="1">
        <f>SUM(OSRRefD22_7x_0)</f>
        <v>103.2</v>
      </c>
      <c r="E46" s="1"/>
      <c r="F46" s="5">
        <f t="shared" ref="F46:F52" si="38">IF(D$12=0,0,D46/D$12)</f>
        <v>0</v>
      </c>
      <c r="G46" s="1"/>
      <c r="H46" s="1">
        <f>SUM(OSRRefH22_7x_0)</f>
        <v>0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103.2</v>
      </c>
      <c r="M46" s="1"/>
      <c r="N46" s="5">
        <f t="shared" ref="N46:N52" si="41">IF(H46=0,0,L46/H46)</f>
        <v>0</v>
      </c>
      <c r="O46" s="14"/>
      <c r="P46" s="1">
        <f>SUM(OSRRefP22_7x_0)</f>
        <v>103.2</v>
      </c>
      <c r="Q46" s="1"/>
      <c r="R46" s="5">
        <f t="shared" ref="R46:R52" si="42">IF(P$12=0,0,P46/P$12)</f>
        <v>0</v>
      </c>
      <c r="S46" s="1"/>
      <c r="T46" s="1">
        <f>SUM(OSRRefT22_7x_0)</f>
        <v>-145.32</v>
      </c>
      <c r="U46" s="1"/>
      <c r="V46" s="5">
        <f t="shared" ref="V46:V52" si="43">IF(T$12=0,0,T46/T$12)</f>
        <v>-0.20352941176470588</v>
      </c>
      <c r="W46" s="1"/>
      <c r="X46" s="1">
        <f t="shared" ref="X46:X52" si="44">+P46-T46</f>
        <v>248.51999999999998</v>
      </c>
      <c r="Y46" s="1"/>
      <c r="Z46" s="5">
        <f t="shared" ref="Z46:Z52" si="45">IF(T46=0,0,X46/T46)</f>
        <v>-1.7101568951279933</v>
      </c>
    </row>
    <row r="47" spans="1:26" s="24" customFormat="1" hidden="1" outlineLevel="2" x14ac:dyDescent="0.3">
      <c r="A47" s="27"/>
      <c r="B47" s="11" t="str">
        <f>CONCATENATE("          ", "6285", " - ", "JANITORIAL SERVICES")</f>
        <v xml:space="preserve">          6285 - JANITORIAL SERVICES</v>
      </c>
      <c r="C47" s="11"/>
      <c r="D47" s="7">
        <v>103.2</v>
      </c>
      <c r="E47" s="2"/>
      <c r="F47" s="8">
        <f t="shared" si="38"/>
        <v>0</v>
      </c>
      <c r="G47" s="2"/>
      <c r="H47" s="7"/>
      <c r="I47" s="2"/>
      <c r="J47" s="8">
        <f t="shared" si="39"/>
        <v>0</v>
      </c>
      <c r="K47" s="2"/>
      <c r="L47" s="7">
        <f t="shared" si="40"/>
        <v>103.2</v>
      </c>
      <c r="M47" s="2"/>
      <c r="N47" s="8">
        <f t="shared" si="41"/>
        <v>0</v>
      </c>
      <c r="O47" s="11"/>
      <c r="P47" s="7">
        <v>103.2</v>
      </c>
      <c r="Q47" s="2"/>
      <c r="R47" s="8">
        <f t="shared" si="42"/>
        <v>0</v>
      </c>
      <c r="S47" s="2"/>
      <c r="T47" s="7">
        <v>-145.32</v>
      </c>
      <c r="U47" s="2"/>
      <c r="V47" s="8">
        <f t="shared" si="43"/>
        <v>-0.20352941176470588</v>
      </c>
      <c r="W47" s="2"/>
      <c r="X47" s="7">
        <f t="shared" si="44"/>
        <v>248.51999999999998</v>
      </c>
      <c r="Y47" s="2"/>
      <c r="Z47" s="8">
        <f t="shared" si="45"/>
        <v>-1.7101568951279933</v>
      </c>
    </row>
    <row r="48" spans="1:26" s="28" customFormat="1" outlineLevel="1" collapsed="1" x14ac:dyDescent="0.3">
      <c r="A48" s="29"/>
      <c r="B48" s="14" t="str">
        <f>CONCATENATE("     ","Supplies                                          ")</f>
        <v xml:space="preserve">     Supplies                                          </v>
      </c>
      <c r="C48" s="14"/>
      <c r="D48" s="1">
        <f>SUM(OSRRefD22_8x_0)</f>
        <v>38.340000000000003</v>
      </c>
      <c r="E48" s="1"/>
      <c r="F48" s="5">
        <f t="shared" si="38"/>
        <v>0</v>
      </c>
      <c r="G48" s="1"/>
      <c r="H48" s="1">
        <f>SUM(OSRRefH22_8x_0)</f>
        <v>80.28</v>
      </c>
      <c r="I48" s="1"/>
      <c r="J48" s="5">
        <f t="shared" si="39"/>
        <v>0.11243697478991596</v>
      </c>
      <c r="K48" s="1"/>
      <c r="L48" s="1">
        <f t="shared" si="40"/>
        <v>-41.94</v>
      </c>
      <c r="M48" s="1"/>
      <c r="N48" s="5">
        <f t="shared" si="41"/>
        <v>-0.52242152466367708</v>
      </c>
      <c r="O48" s="14"/>
      <c r="P48" s="1">
        <f>SUM(OSRRefP22_8x_0)</f>
        <v>42.84</v>
      </c>
      <c r="Q48" s="1"/>
      <c r="R48" s="5">
        <f t="shared" si="42"/>
        <v>0</v>
      </c>
      <c r="S48" s="1"/>
      <c r="T48" s="1">
        <f>SUM(OSRRefT22_8x_0)</f>
        <v>287.55</v>
      </c>
      <c r="U48" s="1"/>
      <c r="V48" s="5">
        <f t="shared" si="43"/>
        <v>0.4027310924369748</v>
      </c>
      <c r="W48" s="1"/>
      <c r="X48" s="1">
        <f t="shared" si="44"/>
        <v>-244.71</v>
      </c>
      <c r="Y48" s="1"/>
      <c r="Z48" s="5">
        <f t="shared" si="45"/>
        <v>-0.85101721439749611</v>
      </c>
    </row>
    <row r="49" spans="1:26" s="24" customFormat="1" hidden="1" outlineLevel="2" x14ac:dyDescent="0.3">
      <c r="A49" s="27"/>
      <c r="B49" s="11" t="str">
        <f>CONCATENATE("          ", "6235", " - ", "COVID-19 EXPENSES")</f>
        <v xml:space="preserve">          6235 - COVID-19 EXPENSES</v>
      </c>
      <c r="C49" s="11"/>
      <c r="D49" s="7"/>
      <c r="E49" s="2"/>
      <c r="F49" s="8">
        <f t="shared" si="38"/>
        <v>0</v>
      </c>
      <c r="G49" s="2"/>
      <c r="H49" s="7"/>
      <c r="I49" s="2"/>
      <c r="J49" s="8">
        <f t="shared" si="39"/>
        <v>0</v>
      </c>
      <c r="K49" s="2"/>
      <c r="L49" s="7">
        <f t="shared" si="40"/>
        <v>0</v>
      </c>
      <c r="M49" s="2"/>
      <c r="N49" s="8">
        <f t="shared" si="41"/>
        <v>0</v>
      </c>
      <c r="O49" s="11"/>
      <c r="P49" s="7"/>
      <c r="Q49" s="2"/>
      <c r="R49" s="8">
        <f t="shared" si="42"/>
        <v>0</v>
      </c>
      <c r="S49" s="2"/>
      <c r="T49" s="7">
        <v>207.27</v>
      </c>
      <c r="U49" s="2"/>
      <c r="V49" s="8">
        <f t="shared" si="43"/>
        <v>0.29029411764705881</v>
      </c>
      <c r="W49" s="2"/>
      <c r="X49" s="7">
        <f t="shared" si="44"/>
        <v>-207.27</v>
      </c>
      <c r="Y49" s="2"/>
      <c r="Z49" s="8">
        <f t="shared" si="45"/>
        <v>-1</v>
      </c>
    </row>
    <row r="50" spans="1:26" s="24" customFormat="1" hidden="1" outlineLevel="2" x14ac:dyDescent="0.3">
      <c r="A50" s="27"/>
      <c r="B50" s="11" t="str">
        <f>CONCATENATE("          ", "6237", " - ", "JANITORIAL SUPPLIES")</f>
        <v xml:space="preserve">          6237 - JANITORIAL SUPPLIES</v>
      </c>
      <c r="C50" s="11"/>
      <c r="D50" s="7">
        <v>38.340000000000003</v>
      </c>
      <c r="E50" s="2"/>
      <c r="F50" s="8">
        <f t="shared" si="38"/>
        <v>0</v>
      </c>
      <c r="G50" s="2"/>
      <c r="H50" s="7"/>
      <c r="I50" s="2"/>
      <c r="J50" s="8">
        <f t="shared" si="39"/>
        <v>0</v>
      </c>
      <c r="K50" s="2"/>
      <c r="L50" s="7">
        <f t="shared" si="40"/>
        <v>38.340000000000003</v>
      </c>
      <c r="M50" s="2"/>
      <c r="N50" s="8">
        <f t="shared" si="41"/>
        <v>0</v>
      </c>
      <c r="O50" s="11"/>
      <c r="P50" s="7">
        <v>38.340000000000003</v>
      </c>
      <c r="Q50" s="2"/>
      <c r="R50" s="8">
        <f t="shared" si="42"/>
        <v>0</v>
      </c>
      <c r="S50" s="2"/>
      <c r="T50" s="7"/>
      <c r="U50" s="2"/>
      <c r="V50" s="8">
        <f t="shared" si="43"/>
        <v>0</v>
      </c>
      <c r="W50" s="2"/>
      <c r="X50" s="7">
        <f t="shared" si="44"/>
        <v>38.340000000000003</v>
      </c>
      <c r="Y50" s="2"/>
      <c r="Z50" s="8">
        <f t="shared" si="45"/>
        <v>0</v>
      </c>
    </row>
    <row r="51" spans="1:26" s="24" customFormat="1" hidden="1" outlineLevel="2" x14ac:dyDescent="0.3">
      <c r="A51" s="27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8">
        <f t="shared" si="38"/>
        <v>0</v>
      </c>
      <c r="G51" s="2"/>
      <c r="H51" s="7"/>
      <c r="I51" s="2"/>
      <c r="J51" s="8">
        <f t="shared" si="39"/>
        <v>0</v>
      </c>
      <c r="K51" s="2"/>
      <c r="L51" s="7">
        <f t="shared" si="40"/>
        <v>0</v>
      </c>
      <c r="M51" s="2"/>
      <c r="N51" s="8">
        <f t="shared" si="41"/>
        <v>0</v>
      </c>
      <c r="O51" s="11"/>
      <c r="P51" s="7">
        <v>4.5</v>
      </c>
      <c r="Q51" s="2"/>
      <c r="R51" s="8">
        <f t="shared" si="42"/>
        <v>0</v>
      </c>
      <c r="S51" s="2"/>
      <c r="T51" s="7"/>
      <c r="U51" s="2"/>
      <c r="V51" s="8">
        <f t="shared" si="43"/>
        <v>0</v>
      </c>
      <c r="W51" s="2"/>
      <c r="X51" s="7">
        <f t="shared" si="44"/>
        <v>4.5</v>
      </c>
      <c r="Y51" s="2"/>
      <c r="Z51" s="8">
        <f t="shared" si="45"/>
        <v>0</v>
      </c>
    </row>
    <row r="52" spans="1:26" s="24" customFormat="1" hidden="1" outlineLevel="2" x14ac:dyDescent="0.3">
      <c r="A52" s="27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8">
        <f t="shared" si="38"/>
        <v>0</v>
      </c>
      <c r="G52" s="2"/>
      <c r="H52" s="7">
        <v>80.28</v>
      </c>
      <c r="I52" s="2"/>
      <c r="J52" s="8">
        <f t="shared" si="39"/>
        <v>0.11243697478991596</v>
      </c>
      <c r="K52" s="2"/>
      <c r="L52" s="7">
        <f t="shared" si="40"/>
        <v>-80.28</v>
      </c>
      <c r="M52" s="2"/>
      <c r="N52" s="8">
        <f t="shared" si="41"/>
        <v>-1</v>
      </c>
      <c r="O52" s="11"/>
      <c r="P52" s="7"/>
      <c r="Q52" s="2"/>
      <c r="R52" s="8">
        <f t="shared" si="42"/>
        <v>0</v>
      </c>
      <c r="S52" s="2"/>
      <c r="T52" s="7">
        <v>80.28</v>
      </c>
      <c r="U52" s="2"/>
      <c r="V52" s="8">
        <f t="shared" si="43"/>
        <v>0.11243697478991596</v>
      </c>
      <c r="W52" s="2"/>
      <c r="X52" s="7">
        <f t="shared" si="44"/>
        <v>-80.28</v>
      </c>
      <c r="Y52" s="2"/>
      <c r="Z52" s="8">
        <f t="shared" si="45"/>
        <v>-1</v>
      </c>
    </row>
    <row r="53" spans="1:26" s="28" customFormat="1" outlineLevel="1" collapsed="1" x14ac:dyDescent="0.3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SUM(OSRRefD22_9x_0)</f>
        <v>51.5</v>
      </c>
      <c r="E53" s="1"/>
      <c r="F53" s="5">
        <f t="shared" ref="F53:F56" si="46">IF(D$12=0,0,D53/D$12)</f>
        <v>0</v>
      </c>
      <c r="G53" s="1"/>
      <c r="H53" s="1">
        <f>SUM(OSRRefH22_9x_0)</f>
        <v>101.5</v>
      </c>
      <c r="I53" s="1"/>
      <c r="J53" s="5">
        <f t="shared" ref="J53:J56" si="47">IF(H$12=0,0,H53/H$12)</f>
        <v>0.14215686274509803</v>
      </c>
      <c r="K53" s="1"/>
      <c r="L53" s="1">
        <f t="shared" ref="L53:L56" si="48">+D53-H53</f>
        <v>-50</v>
      </c>
      <c r="M53" s="1"/>
      <c r="N53" s="5">
        <f t="shared" ref="N53:N56" si="49">IF(H53=0,0,L53/H53)</f>
        <v>-0.49261083743842365</v>
      </c>
      <c r="O53" s="14"/>
      <c r="P53" s="1">
        <f>SUM(OSRRefP22_9x_0)</f>
        <v>81</v>
      </c>
      <c r="Q53" s="1"/>
      <c r="R53" s="5">
        <f t="shared" ref="R53:R56" si="50">IF(P$12=0,0,P53/P$12)</f>
        <v>0</v>
      </c>
      <c r="S53" s="1"/>
      <c r="T53" s="1">
        <f>SUM(OSRRefT22_9x_0)</f>
        <v>203</v>
      </c>
      <c r="U53" s="1"/>
      <c r="V53" s="5">
        <f t="shared" ref="V53:V56" si="51">IF(T$12=0,0,T53/T$12)</f>
        <v>0.28431372549019607</v>
      </c>
      <c r="W53" s="1"/>
      <c r="X53" s="1">
        <f t="shared" ref="X53:X56" si="52">+P53-T53</f>
        <v>-122</v>
      </c>
      <c r="Y53" s="1"/>
      <c r="Z53" s="5">
        <f t="shared" ref="Z53:Z56" si="53">IF(T53=0,0,X53/T53)</f>
        <v>-0.60098522167487689</v>
      </c>
    </row>
    <row r="54" spans="1:26" s="24" customFormat="1" hidden="1" outlineLevel="2" x14ac:dyDescent="0.3">
      <c r="A54" s="27"/>
      <c r="B54" s="11" t="str">
        <f>CONCATENATE("          ", "6309", " - ", "TELEPHONE")</f>
        <v xml:space="preserve">          6309 - TELEPHONE</v>
      </c>
      <c r="C54" s="11"/>
      <c r="D54" s="7">
        <v>51.5</v>
      </c>
      <c r="E54" s="2"/>
      <c r="F54" s="8">
        <f t="shared" si="46"/>
        <v>0</v>
      </c>
      <c r="G54" s="2"/>
      <c r="H54" s="7">
        <v>101.5</v>
      </c>
      <c r="I54" s="2"/>
      <c r="J54" s="8">
        <f t="shared" si="47"/>
        <v>0.14215686274509803</v>
      </c>
      <c r="K54" s="2"/>
      <c r="L54" s="7">
        <f t="shared" si="48"/>
        <v>-50</v>
      </c>
      <c r="M54" s="2"/>
      <c r="N54" s="8">
        <f t="shared" si="49"/>
        <v>-0.49261083743842365</v>
      </c>
      <c r="O54" s="11"/>
      <c r="P54" s="7">
        <v>81</v>
      </c>
      <c r="Q54" s="2"/>
      <c r="R54" s="8">
        <f t="shared" si="50"/>
        <v>0</v>
      </c>
      <c r="S54" s="2"/>
      <c r="T54" s="7">
        <v>203</v>
      </c>
      <c r="U54" s="2"/>
      <c r="V54" s="8">
        <f t="shared" si="51"/>
        <v>0.28431372549019607</v>
      </c>
      <c r="W54" s="2"/>
      <c r="X54" s="7">
        <f t="shared" si="52"/>
        <v>-122</v>
      </c>
      <c r="Y54" s="2"/>
      <c r="Z54" s="8">
        <f t="shared" si="53"/>
        <v>-0.60098522167487689</v>
      </c>
    </row>
    <row r="55" spans="1:26" s="28" customFormat="1" outlineLevel="1" collapsed="1" x14ac:dyDescent="0.3">
      <c r="A55" s="29"/>
      <c r="B55" s="14" t="str">
        <f>CONCATENATE("     ","Utilities                                         ")</f>
        <v xml:space="preserve">     Utilities                                         </v>
      </c>
      <c r="C55" s="14"/>
      <c r="D55" s="1">
        <f>SUM(OSRRefD22_10x_0)</f>
        <v>0</v>
      </c>
      <c r="E55" s="1"/>
      <c r="F55" s="5">
        <f t="shared" si="46"/>
        <v>0</v>
      </c>
      <c r="G55" s="1"/>
      <c r="H55" s="1">
        <f>SUM(OSRRefH22_10x_0)</f>
        <v>50</v>
      </c>
      <c r="I55" s="1"/>
      <c r="J55" s="5">
        <f t="shared" si="47"/>
        <v>7.0028011204481794E-2</v>
      </c>
      <c r="K55" s="1"/>
      <c r="L55" s="1">
        <f t="shared" si="48"/>
        <v>-50</v>
      </c>
      <c r="M55" s="1"/>
      <c r="N55" s="5">
        <f t="shared" si="49"/>
        <v>-1</v>
      </c>
      <c r="O55" s="14"/>
      <c r="P55" s="1">
        <f>SUM(OSRRefP22_10x_0)</f>
        <v>0</v>
      </c>
      <c r="Q55" s="1"/>
      <c r="R55" s="5">
        <f t="shared" si="50"/>
        <v>0</v>
      </c>
      <c r="S55" s="1"/>
      <c r="T55" s="1">
        <f>SUM(OSRRefT22_10x_0)</f>
        <v>100</v>
      </c>
      <c r="U55" s="1"/>
      <c r="V55" s="5">
        <f t="shared" si="51"/>
        <v>0.14005602240896359</v>
      </c>
      <c r="W55" s="1"/>
      <c r="X55" s="1">
        <f t="shared" si="52"/>
        <v>-100</v>
      </c>
      <c r="Y55" s="1"/>
      <c r="Z55" s="5">
        <f t="shared" si="53"/>
        <v>-1</v>
      </c>
    </row>
    <row r="56" spans="1:26" s="24" customFormat="1" hidden="1" outlineLevel="2" x14ac:dyDescent="0.3">
      <c r="A56" s="27"/>
      <c r="B56" s="11" t="str">
        <f>CONCATENATE("          ", "6274", " - ", "UTILITIES")</f>
        <v xml:space="preserve">          6274 - UTILITIES</v>
      </c>
      <c r="C56" s="11"/>
      <c r="D56" s="7"/>
      <c r="E56" s="2"/>
      <c r="F56" s="8">
        <f t="shared" si="46"/>
        <v>0</v>
      </c>
      <c r="G56" s="2"/>
      <c r="H56" s="7">
        <v>50</v>
      </c>
      <c r="I56" s="2"/>
      <c r="J56" s="8">
        <f t="shared" si="47"/>
        <v>7.0028011204481794E-2</v>
      </c>
      <c r="K56" s="2"/>
      <c r="L56" s="7">
        <f t="shared" si="48"/>
        <v>-50</v>
      </c>
      <c r="M56" s="2"/>
      <c r="N56" s="8">
        <f t="shared" si="49"/>
        <v>-1</v>
      </c>
      <c r="O56" s="11"/>
      <c r="P56" s="7"/>
      <c r="Q56" s="2"/>
      <c r="R56" s="8">
        <f t="shared" si="50"/>
        <v>0</v>
      </c>
      <c r="S56" s="2"/>
      <c r="T56" s="7">
        <v>100</v>
      </c>
      <c r="U56" s="2"/>
      <c r="V56" s="8">
        <f t="shared" si="51"/>
        <v>0.14005602240896359</v>
      </c>
      <c r="W56" s="2"/>
      <c r="X56" s="7">
        <f t="shared" si="52"/>
        <v>-100</v>
      </c>
      <c r="Y56" s="2"/>
      <c r="Z56" s="8">
        <f t="shared" si="53"/>
        <v>-1</v>
      </c>
    </row>
    <row r="57" spans="1:26" s="61" customFormat="1" x14ac:dyDescent="0.3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3">
      <c r="A58" s="10"/>
      <c r="B58" s="26" t="s">
        <v>292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3">
      <c r="A59" s="9"/>
      <c r="B59" s="10"/>
      <c r="C59" s="10"/>
      <c r="D59" s="3"/>
      <c r="E59" s="3"/>
      <c r="F59" s="6"/>
      <c r="G59" s="3"/>
      <c r="H59" s="3"/>
      <c r="I59" s="3"/>
      <c r="J59" s="6"/>
      <c r="K59" s="3"/>
      <c r="L59" s="3"/>
      <c r="M59" s="3"/>
      <c r="N59" s="6"/>
      <c r="O59" s="10"/>
      <c r="P59" s="3"/>
      <c r="Q59" s="3"/>
      <c r="R59" s="6"/>
      <c r="S59" s="3"/>
      <c r="T59" s="3"/>
      <c r="U59" s="3"/>
      <c r="V59" s="6"/>
      <c r="W59" s="3"/>
      <c r="X59" s="3"/>
      <c r="Y59" s="3"/>
      <c r="Z59" s="6"/>
    </row>
    <row r="60" spans="1:26" s="23" customFormat="1" x14ac:dyDescent="0.3">
      <c r="A60" s="10"/>
      <c r="B60" s="25" t="s">
        <v>276</v>
      </c>
      <c r="C60" s="25"/>
      <c r="D60" s="20">
        <f>+D19-D21+D58</f>
        <v>-2313.6099999999997</v>
      </c>
      <c r="E60" s="13"/>
      <c r="F60" s="22">
        <f>IF(D$12=0,0,D60/D$12)</f>
        <v>0</v>
      </c>
      <c r="G60" s="13"/>
      <c r="H60" s="20">
        <f>+H19-H21+H58</f>
        <v>-7576.49</v>
      </c>
      <c r="I60" s="13"/>
      <c r="J60" s="22">
        <f>IF(H$12=0,0,H60/H$12)</f>
        <v>-10.611330532212884</v>
      </c>
      <c r="K60" s="15"/>
      <c r="L60" s="20">
        <f>+D60-H60</f>
        <v>5262.88</v>
      </c>
      <c r="M60" s="15"/>
      <c r="N60" s="22">
        <f>IF(H60=0,0,L60/H60)</f>
        <v>-0.69463300288128149</v>
      </c>
      <c r="O60" s="26"/>
      <c r="P60" s="20">
        <f>+P19-P21+P58</f>
        <v>-3498.12</v>
      </c>
      <c r="Q60" s="13"/>
      <c r="R60" s="22">
        <f>IF(P$12=0,0,P60/P$12)</f>
        <v>0</v>
      </c>
      <c r="S60" s="13"/>
      <c r="T60" s="20">
        <f>+T19-T21+T58</f>
        <v>-13147.54</v>
      </c>
      <c r="U60" s="13"/>
      <c r="V60" s="22">
        <f>IF(T$12=0,0,T60/T$12)</f>
        <v>-18.413921568627451</v>
      </c>
      <c r="W60" s="15"/>
      <c r="X60" s="20">
        <f>+P60-T60</f>
        <v>9649.4200000000019</v>
      </c>
      <c r="Y60" s="15"/>
      <c r="Z60" s="22">
        <f>IF(T60=0,0,X60/T60)</f>
        <v>-0.73393349630425164</v>
      </c>
    </row>
    <row r="61" spans="1:26" x14ac:dyDescent="0.3">
      <c r="A61" s="9"/>
      <c r="B61" s="10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x14ac:dyDescent="0.3">
      <c r="A62" s="51"/>
      <c r="B62" s="10" t="s">
        <v>127</v>
      </c>
      <c r="C62" s="10"/>
      <c r="D62" s="4"/>
      <c r="E62" s="4"/>
      <c r="F62" s="12">
        <f>IF(D$12=0,0,D62/D$12)</f>
        <v>0</v>
      </c>
      <c r="G62" s="4"/>
      <c r="H62" s="4">
        <v>120.55</v>
      </c>
      <c r="I62" s="4"/>
      <c r="J62" s="12">
        <f>IF(H$12=0,0,H62/H$12)</f>
        <v>0.16883753501400559</v>
      </c>
      <c r="K62" s="4"/>
      <c r="L62" s="4">
        <f>+D62-H62</f>
        <v>-120.55</v>
      </c>
      <c r="M62" s="4"/>
      <c r="N62" s="12">
        <f>IF(H62=0,0,L62/H62)</f>
        <v>-1</v>
      </c>
      <c r="O62" s="10"/>
      <c r="P62" s="4"/>
      <c r="Q62" s="4"/>
      <c r="R62" s="12">
        <f>IF(P$12=0,0,P62/P$12)</f>
        <v>0</v>
      </c>
      <c r="S62" s="4"/>
      <c r="T62" s="4">
        <v>120.55</v>
      </c>
      <c r="U62" s="4"/>
      <c r="V62" s="12">
        <f>IF(T$12=0,0,T62/T$12)</f>
        <v>0.16883753501400559</v>
      </c>
      <c r="W62" s="4"/>
      <c r="X62" s="4">
        <f>+P62-T62</f>
        <v>-120.55</v>
      </c>
      <c r="Y62" s="4"/>
      <c r="Z62" s="12">
        <f>IF(T62=0,0,X62/T62)</f>
        <v>-1</v>
      </c>
    </row>
    <row r="63" spans="1:26" x14ac:dyDescent="0.3">
      <c r="A63" s="9"/>
      <c r="B63" s="10"/>
      <c r="C63" s="10"/>
      <c r="D63" s="3"/>
      <c r="E63" s="3"/>
      <c r="F63" s="6"/>
      <c r="G63" s="3"/>
      <c r="H63" s="3"/>
      <c r="I63" s="3"/>
      <c r="J63" s="6"/>
      <c r="K63" s="3"/>
      <c r="L63" s="3"/>
      <c r="M63" s="3"/>
      <c r="N63" s="6"/>
      <c r="O63" s="10"/>
      <c r="P63" s="3"/>
      <c r="Q63" s="3"/>
      <c r="R63" s="6"/>
      <c r="S63" s="3"/>
      <c r="T63" s="3"/>
      <c r="U63" s="3"/>
      <c r="V63" s="6"/>
      <c r="W63" s="3"/>
      <c r="X63" s="3"/>
      <c r="Y63" s="3"/>
      <c r="Z63" s="6"/>
    </row>
    <row r="64" spans="1:26" s="23" customFormat="1" ht="15" thickBot="1" x14ac:dyDescent="0.35">
      <c r="A64" s="10"/>
      <c r="B64" s="25" t="s">
        <v>125</v>
      </c>
      <c r="C64" s="25"/>
      <c r="D64" s="33">
        <f>+D60-D62</f>
        <v>-2313.6099999999997</v>
      </c>
      <c r="E64" s="13"/>
      <c r="F64" s="36">
        <f>IF(D$12=0,0,D64/D$12)</f>
        <v>0</v>
      </c>
      <c r="G64" s="13"/>
      <c r="H64" s="33">
        <f>+H60-H62</f>
        <v>-7697.04</v>
      </c>
      <c r="I64" s="13"/>
      <c r="J64" s="36">
        <f>IF(H$12=0,0,H64/H$12)</f>
        <v>-10.78016806722689</v>
      </c>
      <c r="K64" s="15"/>
      <c r="L64" s="33">
        <f>D64-H64</f>
        <v>5383.43</v>
      </c>
      <c r="M64" s="15"/>
      <c r="N64" s="36">
        <f>IF(H64=0,0,L64/H64)</f>
        <v>-0.69941561951087694</v>
      </c>
      <c r="O64" s="26"/>
      <c r="P64" s="33">
        <f>+P60-P62</f>
        <v>-3498.12</v>
      </c>
      <c r="Q64" s="13"/>
      <c r="R64" s="36">
        <f>IF(P$12=0,0,P64/P$12)</f>
        <v>0</v>
      </c>
      <c r="S64" s="13"/>
      <c r="T64" s="33">
        <f>+T60-T62</f>
        <v>-13268.09</v>
      </c>
      <c r="U64" s="13"/>
      <c r="V64" s="36">
        <f>IF(T$12=0,0,T64/T$12)</f>
        <v>-18.582759103641457</v>
      </c>
      <c r="W64" s="15"/>
      <c r="X64" s="33">
        <f>P64-T64</f>
        <v>9769.9700000000012</v>
      </c>
      <c r="Y64" s="15"/>
      <c r="Z64" s="36">
        <f>IF(T64=0,0,X64/T64)</f>
        <v>-0.73635089903671147</v>
      </c>
    </row>
    <row r="65" spans="1:26" ht="15" thickTop="1" x14ac:dyDescent="0.3">
      <c r="A65" s="9"/>
      <c r="B65" s="9"/>
      <c r="C65" s="9"/>
      <c r="D65" s="3"/>
      <c r="E65" s="3"/>
      <c r="F65" s="6"/>
      <c r="G65" s="3"/>
      <c r="H65" s="3"/>
      <c r="I65" s="3"/>
      <c r="J65" s="6"/>
      <c r="K65" s="3"/>
      <c r="L65" s="3"/>
      <c r="M65" s="3"/>
      <c r="N65" s="6"/>
      <c r="P65" s="3"/>
      <c r="Q65" s="3"/>
      <c r="R65" s="6"/>
      <c r="S65" s="3"/>
      <c r="T65" s="3"/>
      <c r="U65" s="3"/>
      <c r="V65" s="6"/>
      <c r="W65" s="3"/>
      <c r="X65" s="3"/>
      <c r="Y65" s="3"/>
      <c r="Z65" s="6"/>
    </row>
    <row r="66" spans="1:26" x14ac:dyDescent="0.3">
      <c r="A66" s="9"/>
      <c r="B66" s="9"/>
      <c r="C66" s="9"/>
      <c r="D66" s="3"/>
      <c r="E66" s="3"/>
      <c r="F66" s="6"/>
      <c r="G66" s="3"/>
      <c r="H66" s="3"/>
      <c r="I66" s="3"/>
      <c r="J66" s="6"/>
      <c r="K66" s="3"/>
      <c r="L66" s="3"/>
      <c r="M66" s="3"/>
      <c r="N66" s="6"/>
      <c r="P66" s="3"/>
      <c r="Q66" s="3"/>
      <c r="R66" s="6"/>
      <c r="S66" s="3"/>
      <c r="T66" s="3"/>
      <c r="U66" s="3"/>
      <c r="V66" s="6"/>
      <c r="W66" s="3"/>
      <c r="X66" s="3"/>
      <c r="Y66" s="3"/>
      <c r="Z66" s="6"/>
    </row>
    <row r="67" spans="1:26" s="23" customFormat="1" ht="15" thickBot="1" x14ac:dyDescent="0.35">
      <c r="A67" s="10"/>
      <c r="B67" s="25" t="s">
        <v>293</v>
      </c>
      <c r="C67" s="25"/>
      <c r="D67" s="30">
        <f>SUM(D64:D66)</f>
        <v>-2313.6099999999997</v>
      </c>
      <c r="E67" s="13"/>
      <c r="F67" s="31">
        <f>IF(D$12=0,0,D67/D$12)</f>
        <v>0</v>
      </c>
      <c r="G67" s="13"/>
      <c r="H67" s="30">
        <f>SUM(H64:H66)</f>
        <v>-7697.04</v>
      </c>
      <c r="I67" s="13"/>
      <c r="J67" s="31">
        <f>IF(H$12=0,0,H67/H$12)</f>
        <v>-10.78016806722689</v>
      </c>
      <c r="K67" s="15"/>
      <c r="L67" s="30">
        <f>+D67-H67</f>
        <v>5383.43</v>
      </c>
      <c r="M67" s="15"/>
      <c r="N67" s="31">
        <f>IF(H67=0,0,L67/H67)</f>
        <v>-0.69941561951087694</v>
      </c>
      <c r="O67" s="26"/>
      <c r="P67" s="30">
        <f>SUM(P64:P66)</f>
        <v>-3498.12</v>
      </c>
      <c r="Q67" s="13"/>
      <c r="R67" s="31">
        <f>IF(P$12=0,0,P67/P$12)</f>
        <v>0</v>
      </c>
      <c r="S67" s="13"/>
      <c r="T67" s="30">
        <f>SUM(T64:T66)</f>
        <v>-13268.09</v>
      </c>
      <c r="U67" s="13"/>
      <c r="V67" s="31">
        <f>IF(T$12=0,0,T67/T$12)</f>
        <v>-18.582759103641457</v>
      </c>
      <c r="W67" s="15"/>
      <c r="X67" s="30">
        <f>+P67-T67</f>
        <v>9769.9700000000012</v>
      </c>
      <c r="Y67" s="15"/>
      <c r="Z67" s="31">
        <f>IF(T67=0,0,X67/T67)</f>
        <v>-0.73635089903671147</v>
      </c>
    </row>
    <row r="68" spans="1:26" ht="15" thickTop="1" x14ac:dyDescent="0.3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59">
        <v>44470.840542939812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A70" s="9"/>
      <c r="B70" s="58" t="s">
        <v>56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5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","322", " - ", "Beach Hut")</f>
        <v>Department 322 - Beach Hut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-995.46</v>
      </c>
      <c r="I14" s="4"/>
      <c r="J14" s="12">
        <f t="shared" ref="J14:J15" si="1">IF(H$12=0,0,H14/H$12)</f>
        <v>0</v>
      </c>
      <c r="K14" s="4"/>
      <c r="L14" s="4">
        <f t="shared" ref="L14:L15" si="2">+D14-H14</f>
        <v>995.46</v>
      </c>
      <c r="M14" s="4"/>
      <c r="N14" s="12">
        <f t="shared" ref="N14:N15" si="3">IF(H14=0,0,L14/H14)</f>
        <v>-1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>
        <v>-995.46</v>
      </c>
      <c r="I15" s="2"/>
      <c r="J15" s="19">
        <f t="shared" si="1"/>
        <v>0</v>
      </c>
      <c r="K15" s="2"/>
      <c r="L15" s="2">
        <f t="shared" si="2"/>
        <v>995.46</v>
      </c>
      <c r="M15" s="2"/>
      <c r="N15" s="19">
        <f t="shared" si="3"/>
        <v>-1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D12-D14</f>
        <v>0</v>
      </c>
      <c r="E17" s="13"/>
      <c r="F17" s="22">
        <f>IF(D$12=0,0,D17/D$12)</f>
        <v>0</v>
      </c>
      <c r="G17" s="13"/>
      <c r="H17" s="20">
        <f>H12-H14</f>
        <v>995.46</v>
      </c>
      <c r="I17" s="13"/>
      <c r="J17" s="22">
        <f>IF(H$12=0,0,H17/H$12)</f>
        <v>0</v>
      </c>
      <c r="K17" s="15"/>
      <c r="L17" s="20">
        <f>+D17-H17</f>
        <v>-995.46</v>
      </c>
      <c r="M17" s="15"/>
      <c r="N17" s="22">
        <f>IF(H17=0,0,L17/H17)</f>
        <v>-1</v>
      </c>
      <c r="O17" s="26"/>
      <c r="P17" s="20">
        <f>P12-P14</f>
        <v>0</v>
      </c>
      <c r="Q17" s="13"/>
      <c r="R17" s="22">
        <f>IF(P$12=0,0,P17/P$12)</f>
        <v>0</v>
      </c>
      <c r="S17" s="13"/>
      <c r="T17" s="20">
        <f>T12-T14</f>
        <v>1222.33</v>
      </c>
      <c r="U17" s="13"/>
      <c r="V17" s="22">
        <f>IF(T$12=0,0,T17/T$12)</f>
        <v>0</v>
      </c>
      <c r="W17" s="15"/>
      <c r="X17" s="20">
        <f>+P17-T17</f>
        <v>-1222.33</v>
      </c>
      <c r="Y17" s="15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0</v>
      </c>
      <c r="E19" s="21"/>
      <c r="F19" s="32">
        <f t="shared" ref="F19:F25" si="8">IF(D$12=0,0,D19/D$12)</f>
        <v>0</v>
      </c>
      <c r="G19" s="21"/>
      <c r="H19" s="21">
        <f>SUM(OSRRefH22x_0)</f>
        <v>1605.98</v>
      </c>
      <c r="I19" s="21"/>
      <c r="J19" s="32">
        <f t="shared" ref="J19:J25" si="9">IF(H$12=0,0,H19/H$12)</f>
        <v>0</v>
      </c>
      <c r="K19" s="4"/>
      <c r="L19" s="21">
        <f t="shared" ref="L19:L25" si="10">+D19-H19</f>
        <v>-1605.98</v>
      </c>
      <c r="M19" s="4"/>
      <c r="N19" s="32">
        <f t="shared" ref="N19:N25" si="11">IF(H19=0,0,L19/H19)</f>
        <v>-1</v>
      </c>
      <c r="O19" s="10"/>
      <c r="P19" s="21">
        <f>SUM(OSRRefP22x_0)</f>
        <v>0</v>
      </c>
      <c r="Q19" s="21"/>
      <c r="R19" s="32">
        <f t="shared" ref="R19:R25" si="12">IF(P$12=0,0,P19/P$12)</f>
        <v>0</v>
      </c>
      <c r="S19" s="21"/>
      <c r="T19" s="21">
        <f>SUM(OSRRefT22x_0)</f>
        <v>6849.05</v>
      </c>
      <c r="U19" s="21"/>
      <c r="V19" s="32">
        <f t="shared" ref="V19:V25" si="13">IF(T$12=0,0,T19/T$12)</f>
        <v>0</v>
      </c>
      <c r="W19" s="4"/>
      <c r="X19" s="21">
        <f t="shared" ref="X19:X25" si="14">+P19-T19</f>
        <v>-6849.05</v>
      </c>
      <c r="Y19" s="4"/>
      <c r="Z19" s="32">
        <f t="shared" ref="Z19:Z25" si="15">IF(T19=0,0,X19/T19)</f>
        <v>-1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8">
        <f t="shared" si="8"/>
        <v>0</v>
      </c>
      <c r="G21" s="2"/>
      <c r="H21" s="7"/>
      <c r="I21" s="2"/>
      <c r="J21" s="8">
        <f t="shared" si="9"/>
        <v>0</v>
      </c>
      <c r="K21" s="2"/>
      <c r="L21" s="7">
        <f t="shared" si="10"/>
        <v>0</v>
      </c>
      <c r="M21" s="2"/>
      <c r="N21" s="8">
        <f t="shared" si="11"/>
        <v>0</v>
      </c>
      <c r="O21" s="11"/>
      <c r="P21" s="7"/>
      <c r="Q21" s="2"/>
      <c r="R21" s="8">
        <f t="shared" si="12"/>
        <v>0</v>
      </c>
      <c r="S21" s="2"/>
      <c r="T21" s="7">
        <v>159.12</v>
      </c>
      <c r="U21" s="2"/>
      <c r="V21" s="8">
        <f t="shared" si="13"/>
        <v>0</v>
      </c>
      <c r="W21" s="2"/>
      <c r="X21" s="7">
        <f t="shared" si="14"/>
        <v>-159.12</v>
      </c>
      <c r="Y21" s="2"/>
      <c r="Z21" s="8">
        <f t="shared" si="15"/>
        <v>-1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8">
        <f t="shared" si="8"/>
        <v>0</v>
      </c>
      <c r="G22" s="2"/>
      <c r="H22" s="7"/>
      <c r="I22" s="2"/>
      <c r="J22" s="8">
        <f t="shared" si="9"/>
        <v>0</v>
      </c>
      <c r="K22" s="2"/>
      <c r="L22" s="7">
        <f t="shared" si="10"/>
        <v>0</v>
      </c>
      <c r="M22" s="2"/>
      <c r="N22" s="8">
        <f t="shared" si="11"/>
        <v>0</v>
      </c>
      <c r="O22" s="11"/>
      <c r="P22" s="7"/>
      <c r="Q22" s="2"/>
      <c r="R22" s="8">
        <f t="shared" si="12"/>
        <v>0</v>
      </c>
      <c r="S22" s="2"/>
      <c r="T22" s="7">
        <v>683.68</v>
      </c>
      <c r="U22" s="2"/>
      <c r="V22" s="8">
        <f t="shared" si="13"/>
        <v>0</v>
      </c>
      <c r="W22" s="2"/>
      <c r="X22" s="7">
        <f t="shared" si="14"/>
        <v>-683.68</v>
      </c>
      <c r="Y22" s="2"/>
      <c r="Z22" s="8">
        <f t="shared" si="15"/>
        <v>-1</v>
      </c>
    </row>
    <row r="23" spans="1:26" s="24" customFormat="1" hidden="1" outlineLevel="2" x14ac:dyDescent="0.3">
      <c r="A23" s="27"/>
      <c r="B23" s="11" t="str">
        <f>CONCATENATE("          ", "6115", " - ", "P.E.R.S.")</f>
        <v xml:space="preserve">          6115 - P.E.R.S.</v>
      </c>
      <c r="C23" s="11"/>
      <c r="D23" s="7"/>
      <c r="E23" s="2"/>
      <c r="F23" s="8">
        <f t="shared" si="8"/>
        <v>0</v>
      </c>
      <c r="G23" s="2"/>
      <c r="H23" s="7"/>
      <c r="I23" s="2"/>
      <c r="J23" s="8">
        <f t="shared" si="9"/>
        <v>0</v>
      </c>
      <c r="K23" s="2"/>
      <c r="L23" s="7">
        <f t="shared" si="10"/>
        <v>0</v>
      </c>
      <c r="M23" s="2"/>
      <c r="N23" s="8">
        <f t="shared" si="11"/>
        <v>0</v>
      </c>
      <c r="O23" s="11"/>
      <c r="P23" s="7"/>
      <c r="Q23" s="2"/>
      <c r="R23" s="8">
        <f t="shared" si="12"/>
        <v>0</v>
      </c>
      <c r="S23" s="2"/>
      <c r="T23" s="7">
        <v>321.57</v>
      </c>
      <c r="U23" s="2"/>
      <c r="V23" s="8">
        <f t="shared" si="13"/>
        <v>0</v>
      </c>
      <c r="W23" s="2"/>
      <c r="X23" s="7">
        <f t="shared" si="14"/>
        <v>-321.57</v>
      </c>
      <c r="Y23" s="2"/>
      <c r="Z23" s="8">
        <f t="shared" si="15"/>
        <v>-1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7"/>
      <c r="E24" s="2"/>
      <c r="F24" s="8">
        <f t="shared" si="8"/>
        <v>0</v>
      </c>
      <c r="G24" s="2"/>
      <c r="H24" s="7"/>
      <c r="I24" s="2"/>
      <c r="J24" s="8">
        <f t="shared" si="9"/>
        <v>0</v>
      </c>
      <c r="K24" s="2"/>
      <c r="L24" s="7">
        <f t="shared" si="10"/>
        <v>0</v>
      </c>
      <c r="M24" s="2"/>
      <c r="N24" s="8">
        <f t="shared" si="11"/>
        <v>0</v>
      </c>
      <c r="O24" s="11"/>
      <c r="P24" s="7"/>
      <c r="Q24" s="2"/>
      <c r="R24" s="8">
        <f t="shared" si="12"/>
        <v>0</v>
      </c>
      <c r="S24" s="2"/>
      <c r="T24" s="7">
        <v>239.72</v>
      </c>
      <c r="U24" s="2"/>
      <c r="V24" s="8">
        <f t="shared" si="13"/>
        <v>0</v>
      </c>
      <c r="W24" s="2"/>
      <c r="X24" s="7">
        <f t="shared" si="14"/>
        <v>-239.72</v>
      </c>
      <c r="Y24" s="2"/>
      <c r="Z24" s="8">
        <f t="shared" si="15"/>
        <v>-1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7"/>
      <c r="E25" s="2"/>
      <c r="F25" s="8">
        <f t="shared" si="8"/>
        <v>0</v>
      </c>
      <c r="G25" s="2"/>
      <c r="H25" s="7"/>
      <c r="I25" s="2"/>
      <c r="J25" s="8">
        <f t="shared" si="9"/>
        <v>0</v>
      </c>
      <c r="K25" s="2"/>
      <c r="L25" s="7">
        <f t="shared" si="10"/>
        <v>0</v>
      </c>
      <c r="M25" s="2"/>
      <c r="N25" s="8">
        <f t="shared" si="11"/>
        <v>0</v>
      </c>
      <c r="O25" s="11"/>
      <c r="P25" s="7"/>
      <c r="Q25" s="2"/>
      <c r="R25" s="8">
        <f t="shared" si="12"/>
        <v>0</v>
      </c>
      <c r="S25" s="2"/>
      <c r="T25" s="7">
        <v>191.88</v>
      </c>
      <c r="U25" s="2"/>
      <c r="V25" s="8">
        <f t="shared" si="13"/>
        <v>0</v>
      </c>
      <c r="W25" s="2"/>
      <c r="X25" s="7">
        <f t="shared" si="14"/>
        <v>-191.88</v>
      </c>
      <c r="Y25" s="2"/>
      <c r="Z25" s="8">
        <f t="shared" si="15"/>
        <v>-1</v>
      </c>
    </row>
    <row r="26" spans="1:26" s="28" customFormat="1" outlineLevel="1" collapsed="1" x14ac:dyDescent="0.3">
      <c r="A26" s="29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3">
      <c r="A27" s="27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8">
        <f t="shared" si="16"/>
        <v>0</v>
      </c>
      <c r="G27" s="2"/>
      <c r="H27" s="7"/>
      <c r="I27" s="2"/>
      <c r="J27" s="8">
        <f t="shared" si="17"/>
        <v>0</v>
      </c>
      <c r="K27" s="2"/>
      <c r="L27" s="7">
        <f t="shared" si="18"/>
        <v>0</v>
      </c>
      <c r="M27" s="2"/>
      <c r="N27" s="8">
        <f t="shared" si="19"/>
        <v>0</v>
      </c>
      <c r="O27" s="11"/>
      <c r="P27" s="7"/>
      <c r="Q27" s="2"/>
      <c r="R27" s="8">
        <f t="shared" si="20"/>
        <v>0</v>
      </c>
      <c r="S27" s="2"/>
      <c r="T27" s="7">
        <v>2080</v>
      </c>
      <c r="U27" s="2"/>
      <c r="V27" s="8">
        <f t="shared" si="21"/>
        <v>0</v>
      </c>
      <c r="W27" s="2"/>
      <c r="X27" s="7">
        <f t="shared" si="22"/>
        <v>-2080</v>
      </c>
      <c r="Y27" s="2"/>
      <c r="Z27" s="8">
        <f t="shared" si="23"/>
        <v>-1</v>
      </c>
    </row>
    <row r="28" spans="1:26" s="28" customFormat="1" outlineLevel="1" collapsed="1" x14ac:dyDescent="0.3">
      <c r="A28" s="29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4034.68</v>
      </c>
      <c r="U28" s="1"/>
      <c r="V28" s="5">
        <f t="shared" si="21"/>
        <v>0</v>
      </c>
      <c r="W28" s="1"/>
      <c r="X28" s="1">
        <f t="shared" si="22"/>
        <v>-4034.68</v>
      </c>
      <c r="Y28" s="1"/>
      <c r="Z28" s="5">
        <f t="shared" si="23"/>
        <v>-1</v>
      </c>
    </row>
    <row r="29" spans="1:26" s="24" customFormat="1" hidden="1" outlineLevel="2" x14ac:dyDescent="0.3">
      <c r="A29" s="27"/>
      <c r="B29" s="11" t="str">
        <f>CONCATENATE("          ", "6322", " - ", "EQUIPMENT DEPRECIATION EXPENSE")</f>
        <v xml:space="preserve">          6322 - EQUIPMENT DEPRECIATION EXPENSE</v>
      </c>
      <c r="C29" s="11"/>
      <c r="D29" s="7"/>
      <c r="E29" s="2"/>
      <c r="F29" s="8">
        <f t="shared" si="16"/>
        <v>0</v>
      </c>
      <c r="G29" s="2"/>
      <c r="H29" s="7">
        <v>2017.34</v>
      </c>
      <c r="I29" s="2"/>
      <c r="J29" s="8">
        <f t="shared" si="17"/>
        <v>0</v>
      </c>
      <c r="K29" s="2"/>
      <c r="L29" s="7">
        <f t="shared" si="18"/>
        <v>-2017.34</v>
      </c>
      <c r="M29" s="2"/>
      <c r="N29" s="8">
        <f t="shared" si="19"/>
        <v>-1</v>
      </c>
      <c r="O29" s="11"/>
      <c r="P29" s="7"/>
      <c r="Q29" s="2"/>
      <c r="R29" s="8">
        <f t="shared" si="20"/>
        <v>0</v>
      </c>
      <c r="S29" s="2"/>
      <c r="T29" s="7">
        <v>4034.68</v>
      </c>
      <c r="U29" s="2"/>
      <c r="V29" s="8">
        <f t="shared" si="21"/>
        <v>0</v>
      </c>
      <c r="W29" s="2"/>
      <c r="X29" s="7">
        <f t="shared" si="22"/>
        <v>-4034.68</v>
      </c>
      <c r="Y29" s="2"/>
      <c r="Z29" s="8">
        <f t="shared" si="23"/>
        <v>-1</v>
      </c>
    </row>
    <row r="30" spans="1:26" s="28" customFormat="1" outlineLevel="1" collapsed="1" x14ac:dyDescent="0.3">
      <c r="A30" s="29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78.599999999999994</v>
      </c>
      <c r="I30" s="1"/>
      <c r="J30" s="5">
        <f t="shared" si="17"/>
        <v>0</v>
      </c>
      <c r="K30" s="1"/>
      <c r="L30" s="1">
        <f t="shared" si="18"/>
        <v>-78.599999999999994</v>
      </c>
      <c r="M30" s="1"/>
      <c r="N30" s="5">
        <f t="shared" si="19"/>
        <v>-1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78.599999999999994</v>
      </c>
      <c r="U30" s="1"/>
      <c r="V30" s="5">
        <f t="shared" si="21"/>
        <v>0</v>
      </c>
      <c r="W30" s="1"/>
      <c r="X30" s="1">
        <f t="shared" si="22"/>
        <v>-78.599999999999994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8">
        <f t="shared" si="16"/>
        <v>0</v>
      </c>
      <c r="G31" s="2"/>
      <c r="H31" s="7">
        <v>78.599999999999994</v>
      </c>
      <c r="I31" s="2"/>
      <c r="J31" s="8">
        <f t="shared" si="17"/>
        <v>0</v>
      </c>
      <c r="K31" s="2"/>
      <c r="L31" s="7">
        <f t="shared" si="18"/>
        <v>-78.599999999999994</v>
      </c>
      <c r="M31" s="2"/>
      <c r="N31" s="8">
        <f t="shared" si="19"/>
        <v>-1</v>
      </c>
      <c r="O31" s="11"/>
      <c r="P31" s="7"/>
      <c r="Q31" s="2"/>
      <c r="R31" s="8">
        <f t="shared" si="20"/>
        <v>0</v>
      </c>
      <c r="S31" s="2"/>
      <c r="T31" s="7">
        <v>78.599999999999994</v>
      </c>
      <c r="U31" s="2"/>
      <c r="V31" s="8">
        <f t="shared" si="21"/>
        <v>0</v>
      </c>
      <c r="W31" s="2"/>
      <c r="X31" s="7">
        <f t="shared" si="22"/>
        <v>-78.599999999999994</v>
      </c>
      <c r="Y31" s="2"/>
      <c r="Z31" s="8">
        <f t="shared" si="23"/>
        <v>-1</v>
      </c>
    </row>
    <row r="32" spans="1:26" s="28" customFormat="1" outlineLevel="1" collapsed="1" x14ac:dyDescent="0.3">
      <c r="A32" s="29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-567.28</v>
      </c>
      <c r="I32" s="1"/>
      <c r="J32" s="5">
        <f t="shared" si="17"/>
        <v>0</v>
      </c>
      <c r="K32" s="1"/>
      <c r="L32" s="1">
        <f t="shared" si="18"/>
        <v>567.28</v>
      </c>
      <c r="M32" s="1"/>
      <c r="N32" s="5">
        <f t="shared" si="19"/>
        <v>-1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3">
      <c r="A33" s="27"/>
      <c r="B33" s="11" t="str">
        <f>CONCATENATE("          ", "6282", " - ", "JANITORIAL/EXTERMINATOR EXPENS")</f>
        <v xml:space="preserve">          6282 - JANITORIAL/EXTERMINATOR EXPENS</v>
      </c>
      <c r="C33" s="11"/>
      <c r="D33" s="7"/>
      <c r="E33" s="2"/>
      <c r="F33" s="8">
        <f t="shared" si="16"/>
        <v>0</v>
      </c>
      <c r="G33" s="2"/>
      <c r="H33" s="7">
        <v>-567.28</v>
      </c>
      <c r="I33" s="2"/>
      <c r="J33" s="8">
        <f t="shared" si="17"/>
        <v>0</v>
      </c>
      <c r="K33" s="2"/>
      <c r="L33" s="7">
        <f t="shared" si="18"/>
        <v>567.28</v>
      </c>
      <c r="M33" s="2"/>
      <c r="N33" s="8">
        <f t="shared" si="19"/>
        <v>-1</v>
      </c>
      <c r="O33" s="11"/>
      <c r="P33" s="7"/>
      <c r="Q33" s="2"/>
      <c r="R33" s="8">
        <f t="shared" si="20"/>
        <v>0</v>
      </c>
      <c r="S33" s="2"/>
      <c r="T33" s="7">
        <v>-567.28</v>
      </c>
      <c r="U33" s="2"/>
      <c r="V33" s="8">
        <f t="shared" si="21"/>
        <v>0</v>
      </c>
      <c r="W33" s="2"/>
      <c r="X33" s="7">
        <f t="shared" si="22"/>
        <v>567.28</v>
      </c>
      <c r="Y33" s="2"/>
      <c r="Z33" s="8">
        <f t="shared" si="23"/>
        <v>-1</v>
      </c>
    </row>
    <row r="34" spans="1:26" s="24" customFormat="1" hidden="1" outlineLevel="2" x14ac:dyDescent="0.3">
      <c r="A34" s="27"/>
      <c r="B34" s="11" t="str">
        <f>CONCATENATE("          ", "6285", " - ", "JANITORIAL SERVICES")</f>
        <v xml:space="preserve">          6285 - JANITORIAL SERVICES</v>
      </c>
      <c r="C34" s="11"/>
      <c r="D34" s="7"/>
      <c r="E34" s="2"/>
      <c r="F34" s="8">
        <f t="shared" si="16"/>
        <v>0</v>
      </c>
      <c r="G34" s="2"/>
      <c r="H34" s="7"/>
      <c r="I34" s="2"/>
      <c r="J34" s="8">
        <f t="shared" si="17"/>
        <v>0</v>
      </c>
      <c r="K34" s="2"/>
      <c r="L34" s="7">
        <f t="shared" si="18"/>
        <v>0</v>
      </c>
      <c r="M34" s="2"/>
      <c r="N34" s="8">
        <f t="shared" si="19"/>
        <v>0</v>
      </c>
      <c r="O34" s="11"/>
      <c r="P34" s="7"/>
      <c r="Q34" s="2"/>
      <c r="R34" s="8">
        <f t="shared" si="20"/>
        <v>0</v>
      </c>
      <c r="S34" s="2"/>
      <c r="T34" s="7">
        <v>-486.24</v>
      </c>
      <c r="U34" s="2"/>
      <c r="V34" s="8">
        <f t="shared" si="21"/>
        <v>0</v>
      </c>
      <c r="W34" s="2"/>
      <c r="X34" s="7">
        <f t="shared" si="22"/>
        <v>486.24</v>
      </c>
      <c r="Y34" s="2"/>
      <c r="Z34" s="8">
        <f t="shared" si="23"/>
        <v>-1</v>
      </c>
    </row>
    <row r="35" spans="1:26" s="28" customFormat="1" outlineLevel="1" collapsed="1" x14ac:dyDescent="0.3">
      <c r="A35" s="29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38" si="24">IF(D$12=0,0,D35/D$12)</f>
        <v>0</v>
      </c>
      <c r="G35" s="1"/>
      <c r="H35" s="1">
        <f>SUM(OSRRefH22_5x_0)</f>
        <v>41.32</v>
      </c>
      <c r="I35" s="1"/>
      <c r="J35" s="5">
        <f t="shared" ref="J35:J38" si="25">IF(H$12=0,0,H35/H$12)</f>
        <v>0</v>
      </c>
      <c r="K35" s="1"/>
      <c r="L35" s="1">
        <f t="shared" ref="L35:L38" si="26">+D35-H35</f>
        <v>-41.32</v>
      </c>
      <c r="M35" s="1"/>
      <c r="N35" s="5">
        <f t="shared" ref="N35:N38" si="27">IF(H35=0,0,L35/H35)</f>
        <v>-1</v>
      </c>
      <c r="O35" s="14"/>
      <c r="P35" s="1">
        <f>SUM(OSRRefP22_5x_0)</f>
        <v>0</v>
      </c>
      <c r="Q35" s="1"/>
      <c r="R35" s="5">
        <f t="shared" ref="R35:R38" si="28">IF(P$12=0,0,P35/P$12)</f>
        <v>0</v>
      </c>
      <c r="S35" s="1"/>
      <c r="T35" s="1">
        <f>SUM(OSRRefT22_5x_0)</f>
        <v>41.32</v>
      </c>
      <c r="U35" s="1"/>
      <c r="V35" s="5">
        <f t="shared" ref="V35:V38" si="29">IF(T$12=0,0,T35/T$12)</f>
        <v>0</v>
      </c>
      <c r="W35" s="1"/>
      <c r="X35" s="1">
        <f t="shared" ref="X35:X38" si="30">+P35-T35</f>
        <v>-41.32</v>
      </c>
      <c r="Y35" s="1"/>
      <c r="Z35" s="5">
        <f t="shared" ref="Z35:Z38" si="31">IF(T35=0,0,X35/T35)</f>
        <v>-1</v>
      </c>
    </row>
    <row r="36" spans="1:26" s="24" customFormat="1" hidden="1" outlineLevel="2" x14ac:dyDescent="0.3">
      <c r="A36" s="27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8">
        <f t="shared" si="24"/>
        <v>0</v>
      </c>
      <c r="G36" s="2"/>
      <c r="H36" s="7">
        <v>41.32</v>
      </c>
      <c r="I36" s="2"/>
      <c r="J36" s="8">
        <f t="shared" si="25"/>
        <v>0</v>
      </c>
      <c r="K36" s="2"/>
      <c r="L36" s="7">
        <f t="shared" si="26"/>
        <v>-41.32</v>
      </c>
      <c r="M36" s="2"/>
      <c r="N36" s="8">
        <f t="shared" si="27"/>
        <v>-1</v>
      </c>
      <c r="O36" s="11"/>
      <c r="P36" s="7"/>
      <c r="Q36" s="2"/>
      <c r="R36" s="8">
        <f t="shared" si="28"/>
        <v>0</v>
      </c>
      <c r="S36" s="2"/>
      <c r="T36" s="7">
        <v>41.32</v>
      </c>
      <c r="U36" s="2"/>
      <c r="V36" s="8">
        <f t="shared" si="29"/>
        <v>0</v>
      </c>
      <c r="W36" s="2"/>
      <c r="X36" s="7">
        <f t="shared" si="30"/>
        <v>-41.32</v>
      </c>
      <c r="Y36" s="2"/>
      <c r="Z36" s="8">
        <f t="shared" si="31"/>
        <v>-1</v>
      </c>
    </row>
    <row r="37" spans="1:26" s="28" customFormat="1" outlineLevel="1" collapsed="1" x14ac:dyDescent="0.3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36</v>
      </c>
      <c r="I37" s="1"/>
      <c r="J37" s="5">
        <f t="shared" si="25"/>
        <v>0</v>
      </c>
      <c r="K37" s="1"/>
      <c r="L37" s="1">
        <f t="shared" si="26"/>
        <v>-36</v>
      </c>
      <c r="M37" s="1"/>
      <c r="N37" s="5">
        <f t="shared" si="27"/>
        <v>-1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72</v>
      </c>
      <c r="U37" s="1"/>
      <c r="V37" s="5">
        <f t="shared" si="29"/>
        <v>0</v>
      </c>
      <c r="W37" s="1"/>
      <c r="X37" s="1">
        <f t="shared" si="30"/>
        <v>-72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"6309", " - ", "TELEPHONE")</f>
        <v xml:space="preserve">          6309 - TELEPHONE</v>
      </c>
      <c r="C38" s="11"/>
      <c r="D38" s="7"/>
      <c r="E38" s="2"/>
      <c r="F38" s="8">
        <f t="shared" si="24"/>
        <v>0</v>
      </c>
      <c r="G38" s="2"/>
      <c r="H38" s="7">
        <v>36</v>
      </c>
      <c r="I38" s="2"/>
      <c r="J38" s="8">
        <f t="shared" si="25"/>
        <v>0</v>
      </c>
      <c r="K38" s="2"/>
      <c r="L38" s="7">
        <f t="shared" si="26"/>
        <v>-36</v>
      </c>
      <c r="M38" s="2"/>
      <c r="N38" s="8">
        <f t="shared" si="27"/>
        <v>-1</v>
      </c>
      <c r="O38" s="11"/>
      <c r="P38" s="7"/>
      <c r="Q38" s="2"/>
      <c r="R38" s="8">
        <f t="shared" si="28"/>
        <v>0</v>
      </c>
      <c r="S38" s="2"/>
      <c r="T38" s="7">
        <v>72</v>
      </c>
      <c r="U38" s="2"/>
      <c r="V38" s="8">
        <f t="shared" si="29"/>
        <v>0</v>
      </c>
      <c r="W38" s="2"/>
      <c r="X38" s="7">
        <f t="shared" si="30"/>
        <v>-72</v>
      </c>
      <c r="Y38" s="2"/>
      <c r="Z38" s="8">
        <f t="shared" si="31"/>
        <v>-1</v>
      </c>
    </row>
    <row r="39" spans="1:26" s="61" customFormat="1" x14ac:dyDescent="0.3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x14ac:dyDescent="0.3">
      <c r="A40" s="10"/>
      <c r="B40" s="26" t="s">
        <v>292</v>
      </c>
      <c r="C40" s="10"/>
      <c r="D40" s="4">
        <f>SUM(0)</f>
        <v>0</v>
      </c>
      <c r="E40" s="4"/>
      <c r="F40" s="12">
        <f>IF(D$12=0,0,D40/D$12)</f>
        <v>0</v>
      </c>
      <c r="G40" s="4"/>
      <c r="H40" s="4">
        <f>SUM(0)</f>
        <v>0</v>
      </c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>
        <f>SUM(0)</f>
        <v>0</v>
      </c>
      <c r="Q40" s="4"/>
      <c r="R40" s="12">
        <f>IF(P$12=0,0,P40/P$12)</f>
        <v>0</v>
      </c>
      <c r="S40" s="4"/>
      <c r="T40" s="4">
        <f>SUM(0)</f>
        <v>0</v>
      </c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6"/>
      <c r="G41" s="3"/>
      <c r="H41" s="3"/>
      <c r="I41" s="3"/>
      <c r="J41" s="6"/>
      <c r="K41" s="3"/>
      <c r="L41" s="3"/>
      <c r="M41" s="3"/>
      <c r="N41" s="6"/>
      <c r="O41" s="10"/>
      <c r="P41" s="3"/>
      <c r="Q41" s="3"/>
      <c r="R41" s="6"/>
      <c r="S41" s="3"/>
      <c r="T41" s="3"/>
      <c r="U41" s="3"/>
      <c r="V41" s="6"/>
      <c r="W41" s="3"/>
      <c r="X41" s="3"/>
      <c r="Y41" s="3"/>
      <c r="Z41" s="6"/>
    </row>
    <row r="42" spans="1:26" s="23" customFormat="1" x14ac:dyDescent="0.3">
      <c r="A42" s="10"/>
      <c r="B42" s="25" t="s">
        <v>276</v>
      </c>
      <c r="C42" s="25"/>
      <c r="D42" s="20">
        <f>+D17-D19+D40</f>
        <v>0</v>
      </c>
      <c r="E42" s="13"/>
      <c r="F42" s="22">
        <f>IF(D$12=0,0,D42/D$12)</f>
        <v>0</v>
      </c>
      <c r="G42" s="13"/>
      <c r="H42" s="20">
        <f>+H17-H19+H40</f>
        <v>-610.52</v>
      </c>
      <c r="I42" s="13"/>
      <c r="J42" s="22">
        <f>IF(H$12=0,0,H42/H$12)</f>
        <v>0</v>
      </c>
      <c r="K42" s="15"/>
      <c r="L42" s="20">
        <f>+D42-H42</f>
        <v>610.52</v>
      </c>
      <c r="M42" s="15"/>
      <c r="N42" s="22">
        <f>IF(H42=0,0,L42/H42)</f>
        <v>-1</v>
      </c>
      <c r="O42" s="26"/>
      <c r="P42" s="20">
        <f>+P17-P19+P40</f>
        <v>0</v>
      </c>
      <c r="Q42" s="13"/>
      <c r="R42" s="22">
        <f>IF(P$12=0,0,P42/P$12)</f>
        <v>0</v>
      </c>
      <c r="S42" s="13"/>
      <c r="T42" s="20">
        <f>+T17-T19+T40</f>
        <v>-5626.72</v>
      </c>
      <c r="U42" s="13"/>
      <c r="V42" s="22">
        <f>IF(T$12=0,0,T42/T$12)</f>
        <v>0</v>
      </c>
      <c r="W42" s="15"/>
      <c r="X42" s="20">
        <f>+P42-T42</f>
        <v>5626.72</v>
      </c>
      <c r="Y42" s="15"/>
      <c r="Z42" s="22">
        <f>IF(T42=0,0,X42/T42)</f>
        <v>-1</v>
      </c>
    </row>
    <row r="43" spans="1:26" x14ac:dyDescent="0.3">
      <c r="A43" s="9"/>
      <c r="B43" s="10"/>
      <c r="C43" s="9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s="23" customFormat="1" x14ac:dyDescent="0.3">
      <c r="A44" s="51"/>
      <c r="B44" s="10" t="s">
        <v>127</v>
      </c>
      <c r="C44" s="10"/>
      <c r="D44" s="4"/>
      <c r="E44" s="4"/>
      <c r="F44" s="12">
        <f>IF(D$12=0,0,D44/D$12)</f>
        <v>0</v>
      </c>
      <c r="G44" s="4"/>
      <c r="H44" s="4"/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/>
      <c r="Q44" s="4"/>
      <c r="R44" s="12">
        <f>IF(P$12=0,0,P44/P$12)</f>
        <v>0</v>
      </c>
      <c r="S44" s="4"/>
      <c r="T44" s="4"/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O45" s="10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ht="15" thickBot="1" x14ac:dyDescent="0.35">
      <c r="A46" s="10"/>
      <c r="B46" s="25" t="s">
        <v>125</v>
      </c>
      <c r="C46" s="25"/>
      <c r="D46" s="33">
        <f>+D42-D44</f>
        <v>0</v>
      </c>
      <c r="E46" s="13"/>
      <c r="F46" s="36">
        <f>IF(D$12=0,0,D46/D$12)</f>
        <v>0</v>
      </c>
      <c r="G46" s="13"/>
      <c r="H46" s="33">
        <f>+H42-H44</f>
        <v>-610.52</v>
      </c>
      <c r="I46" s="13"/>
      <c r="J46" s="36">
        <f>IF(H$12=0,0,H46/H$12)</f>
        <v>0</v>
      </c>
      <c r="K46" s="15"/>
      <c r="L46" s="33">
        <f>D46-H46</f>
        <v>610.52</v>
      </c>
      <c r="M46" s="15"/>
      <c r="N46" s="36">
        <f>IF(H46=0,0,L46/H46)</f>
        <v>-1</v>
      </c>
      <c r="O46" s="26"/>
      <c r="P46" s="33">
        <f>+P42-P44</f>
        <v>0</v>
      </c>
      <c r="Q46" s="13"/>
      <c r="R46" s="36">
        <f>IF(P$12=0,0,P46/P$12)</f>
        <v>0</v>
      </c>
      <c r="S46" s="13"/>
      <c r="T46" s="33">
        <f>+T42-T44</f>
        <v>-5626.72</v>
      </c>
      <c r="U46" s="13"/>
      <c r="V46" s="36">
        <f>IF(T$12=0,0,T46/T$12)</f>
        <v>0</v>
      </c>
      <c r="W46" s="15"/>
      <c r="X46" s="33">
        <f>P46-T46</f>
        <v>5626.72</v>
      </c>
      <c r="Y46" s="15"/>
      <c r="Z46" s="36">
        <f>IF(T46=0,0,X46/T46)</f>
        <v>-1</v>
      </c>
    </row>
    <row r="47" spans="1:26" ht="15" thickTop="1" x14ac:dyDescent="0.3">
      <c r="A47" s="9"/>
      <c r="B47" s="9"/>
      <c r="C47" s="9"/>
      <c r="D47" s="3"/>
      <c r="E47" s="3"/>
      <c r="F47" s="6"/>
      <c r="G47" s="3"/>
      <c r="H47" s="3"/>
      <c r="I47" s="3"/>
      <c r="J47" s="6"/>
      <c r="K47" s="3"/>
      <c r="L47" s="3"/>
      <c r="M47" s="3"/>
      <c r="N47" s="6"/>
      <c r="P47" s="3"/>
      <c r="Q47" s="3"/>
      <c r="R47" s="6"/>
      <c r="S47" s="3"/>
      <c r="T47" s="3"/>
      <c r="U47" s="3"/>
      <c r="V47" s="6"/>
      <c r="W47" s="3"/>
      <c r="X47" s="3"/>
      <c r="Y47" s="3"/>
      <c r="Z47" s="6"/>
    </row>
    <row r="48" spans="1:26" x14ac:dyDescent="0.3">
      <c r="A48" s="9"/>
      <c r="B48" s="9"/>
      <c r="C48" s="9"/>
      <c r="D48" s="3"/>
      <c r="E48" s="3"/>
      <c r="F48" s="6"/>
      <c r="G48" s="3"/>
      <c r="H48" s="3"/>
      <c r="I48" s="3"/>
      <c r="J48" s="6"/>
      <c r="K48" s="3"/>
      <c r="L48" s="3"/>
      <c r="M48" s="3"/>
      <c r="N48" s="6"/>
      <c r="P48" s="3"/>
      <c r="Q48" s="3"/>
      <c r="R48" s="6"/>
      <c r="S48" s="3"/>
      <c r="T48" s="3"/>
      <c r="U48" s="3"/>
      <c r="V48" s="6"/>
      <c r="W48" s="3"/>
      <c r="X48" s="3"/>
      <c r="Y48" s="3"/>
      <c r="Z48" s="6"/>
    </row>
    <row r="49" spans="1:26" s="23" customFormat="1" ht="15" thickBot="1" x14ac:dyDescent="0.35">
      <c r="A49" s="10"/>
      <c r="B49" s="25" t="s">
        <v>293</v>
      </c>
      <c r="C49" s="25"/>
      <c r="D49" s="30">
        <f>SUM(D46:D48)</f>
        <v>0</v>
      </c>
      <c r="E49" s="13"/>
      <c r="F49" s="31">
        <f>IF(D$12=0,0,D49/D$12)</f>
        <v>0</v>
      </c>
      <c r="G49" s="13"/>
      <c r="H49" s="30">
        <f>SUM(H46:H48)</f>
        <v>-610.52</v>
      </c>
      <c r="I49" s="13"/>
      <c r="J49" s="31">
        <f>IF(H$12=0,0,H49/H$12)</f>
        <v>0</v>
      </c>
      <c r="K49" s="15"/>
      <c r="L49" s="30">
        <f>+D49-H49</f>
        <v>610.52</v>
      </c>
      <c r="M49" s="15"/>
      <c r="N49" s="31">
        <f>IF(H49=0,0,L49/H49)</f>
        <v>-1</v>
      </c>
      <c r="O49" s="26"/>
      <c r="P49" s="30">
        <f>SUM(P46:P48)</f>
        <v>0</v>
      </c>
      <c r="Q49" s="13"/>
      <c r="R49" s="31">
        <f>IF(P$12=0,0,P49/P$12)</f>
        <v>0</v>
      </c>
      <c r="S49" s="13"/>
      <c r="T49" s="30">
        <f>SUM(T46:T48)</f>
        <v>-5626.72</v>
      </c>
      <c r="U49" s="13"/>
      <c r="V49" s="31">
        <f>IF(T$12=0,0,T49/T$12)</f>
        <v>0</v>
      </c>
      <c r="W49" s="15"/>
      <c r="X49" s="30">
        <f>+P49-T49</f>
        <v>5626.72</v>
      </c>
      <c r="Y49" s="15"/>
      <c r="Z49" s="31">
        <f>IF(T49=0,0,X49/T49)</f>
        <v>-1</v>
      </c>
    </row>
    <row r="50" spans="1:26" ht="15" thickTop="1" x14ac:dyDescent="0.3">
      <c r="A50" s="9"/>
      <c r="C50" s="9"/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  <row r="51" spans="1:26" x14ac:dyDescent="0.3">
      <c r="A51" s="9"/>
      <c r="B51" s="59">
        <v>44470.840542939812</v>
      </c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3">
      <c r="A52" s="9"/>
      <c r="B52" s="58" t="s">
        <v>56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52"/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","325", " - ", "Outpost C-Store")</f>
        <v>Department 325 - Outpost C-Store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6534.79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6534.79</v>
      </c>
      <c r="M12" s="4"/>
      <c r="N12" s="12">
        <f t="shared" ref="N12:N14" si="1">IF(H12=0,0,L12/H12)</f>
        <v>0</v>
      </c>
      <c r="O12" s="10"/>
      <c r="P12" s="4">
        <f>SUM(OSRRefP13x_0)</f>
        <v>6534.79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6534.79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1234.92</v>
      </c>
      <c r="M13" s="2"/>
      <c r="N13" s="19">
        <f t="shared" si="1"/>
        <v>0</v>
      </c>
      <c r="O13" s="11"/>
      <c r="P13" s="2">
        <f>--1234.92</f>
        <v>1234.92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1234.92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--5299.87</f>
        <v>5299.87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5299.87</v>
      </c>
      <c r="M14" s="2"/>
      <c r="N14" s="19">
        <f t="shared" si="1"/>
        <v>0</v>
      </c>
      <c r="O14" s="11"/>
      <c r="P14" s="2">
        <f>--5299.87</f>
        <v>5299.87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5299.87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3201.5599999999995</v>
      </c>
      <c r="E16" s="4"/>
      <c r="F16" s="12">
        <f t="shared" ref="F16:F18" si="6">IF(D$12=0,0,D16/D$12)</f>
        <v>0.48992546049681773</v>
      </c>
      <c r="G16" s="4"/>
      <c r="H16" s="4">
        <f>SUM(OSRRefH16x_0)</f>
        <v>-688.96</v>
      </c>
      <c r="I16" s="4"/>
      <c r="J16" s="12">
        <f t="shared" ref="J16:J18" si="7">IF(H$12=0,0,H16/H$12)</f>
        <v>0</v>
      </c>
      <c r="K16" s="4"/>
      <c r="L16" s="4">
        <f t="shared" ref="L16:L18" si="8">+D16-H16</f>
        <v>3890.5199999999995</v>
      </c>
      <c r="M16" s="4"/>
      <c r="N16" s="12">
        <f t="shared" ref="N16:N18" si="9">IF(H16=0,0,L16/H16)</f>
        <v>-5.6469461216906636</v>
      </c>
      <c r="O16" s="10"/>
      <c r="P16" s="4">
        <f>SUM(OSRRefP16x_0)</f>
        <v>3201.5599999999995</v>
      </c>
      <c r="Q16" s="4"/>
      <c r="R16" s="12">
        <f t="shared" ref="R16:R18" si="10">IF(P$12=0,0,P16/P$12)</f>
        <v>0.48992546049681773</v>
      </c>
      <c r="S16" s="4"/>
      <c r="T16" s="4">
        <f>SUM(OSRRefT16x_0)</f>
        <v>-688.96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3890.5199999999995</v>
      </c>
      <c r="Y16" s="4"/>
      <c r="Z16" s="12">
        <f t="shared" ref="Z16:Z18" si="13">IF(T16=0,0,X16/T16)</f>
        <v>-5.6469461216906636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14940.56</v>
      </c>
      <c r="E17" s="2"/>
      <c r="F17" s="19">
        <f t="shared" si="6"/>
        <v>2.2863106542061793</v>
      </c>
      <c r="G17" s="2"/>
      <c r="H17" s="2">
        <v>-688.96</v>
      </c>
      <c r="I17" s="2"/>
      <c r="J17" s="19">
        <f t="shared" si="7"/>
        <v>0</v>
      </c>
      <c r="K17" s="2"/>
      <c r="L17" s="2">
        <f t="shared" si="8"/>
        <v>15629.52</v>
      </c>
      <c r="M17" s="2"/>
      <c r="N17" s="19">
        <f t="shared" si="9"/>
        <v>-22.685671156525778</v>
      </c>
      <c r="O17" s="11"/>
      <c r="P17" s="2">
        <v>14940.56</v>
      </c>
      <c r="Q17" s="2"/>
      <c r="R17" s="19">
        <f t="shared" si="10"/>
        <v>2.2863106542061793</v>
      </c>
      <c r="S17" s="2"/>
      <c r="T17" s="2">
        <v>-688.96</v>
      </c>
      <c r="U17" s="2"/>
      <c r="V17" s="19">
        <f t="shared" si="11"/>
        <v>0</v>
      </c>
      <c r="W17" s="2"/>
      <c r="X17" s="2">
        <f t="shared" si="12"/>
        <v>15629.52</v>
      </c>
      <c r="Y17" s="2"/>
      <c r="Z17" s="19">
        <f t="shared" si="13"/>
        <v>-22.685671156525778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-11739</v>
      </c>
      <c r="E18" s="2"/>
      <c r="F18" s="19">
        <f t="shared" si="6"/>
        <v>-1.7963851937093618</v>
      </c>
      <c r="G18" s="2"/>
      <c r="H18" s="2"/>
      <c r="I18" s="2"/>
      <c r="J18" s="19">
        <f t="shared" si="7"/>
        <v>0</v>
      </c>
      <c r="K18" s="2"/>
      <c r="L18" s="2">
        <f t="shared" si="8"/>
        <v>-11739</v>
      </c>
      <c r="M18" s="2"/>
      <c r="N18" s="19">
        <f t="shared" si="9"/>
        <v>0</v>
      </c>
      <c r="O18" s="11"/>
      <c r="P18" s="2">
        <v>-11739</v>
      </c>
      <c r="Q18" s="2"/>
      <c r="R18" s="19">
        <f t="shared" si="10"/>
        <v>-1.7963851937093618</v>
      </c>
      <c r="S18" s="2"/>
      <c r="T18" s="2"/>
      <c r="U18" s="2"/>
      <c r="V18" s="19">
        <f t="shared" si="11"/>
        <v>0</v>
      </c>
      <c r="W18" s="2"/>
      <c r="X18" s="2">
        <f t="shared" si="12"/>
        <v>-11739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6"/>
      <c r="G19" s="3"/>
      <c r="H19" s="3"/>
      <c r="I19" s="3"/>
      <c r="J19" s="6"/>
      <c r="K19" s="3"/>
      <c r="L19" s="3"/>
      <c r="M19" s="3"/>
      <c r="N19" s="6"/>
      <c r="O19" s="10"/>
      <c r="P19" s="3"/>
      <c r="Q19" s="3"/>
      <c r="R19" s="6"/>
      <c r="S19" s="3"/>
      <c r="T19" s="3"/>
      <c r="U19" s="3"/>
      <c r="V19" s="6"/>
      <c r="W19" s="3"/>
      <c r="X19" s="3"/>
      <c r="Y19" s="3"/>
      <c r="Z19" s="6"/>
    </row>
    <row r="20" spans="1:26" s="23" customFormat="1" x14ac:dyDescent="0.3">
      <c r="A20" s="10"/>
      <c r="B20" s="25" t="s">
        <v>107</v>
      </c>
      <c r="C20" s="25"/>
      <c r="D20" s="20">
        <f>D12-D16</f>
        <v>3333.2300000000005</v>
      </c>
      <c r="E20" s="13"/>
      <c r="F20" s="22">
        <f>IF(D$12=0,0,D20/D$12)</f>
        <v>0.51007453950318227</v>
      </c>
      <c r="G20" s="13"/>
      <c r="H20" s="20">
        <f>H12-H16</f>
        <v>688.96</v>
      </c>
      <c r="I20" s="13"/>
      <c r="J20" s="22">
        <f>IF(H$12=0,0,H20/H$12)</f>
        <v>0</v>
      </c>
      <c r="K20" s="15"/>
      <c r="L20" s="20">
        <f>+D20-H20</f>
        <v>2644.2700000000004</v>
      </c>
      <c r="M20" s="15"/>
      <c r="N20" s="22">
        <f>IF(H20=0,0,L20/H20)</f>
        <v>3.8380602647468653</v>
      </c>
      <c r="O20" s="26"/>
      <c r="P20" s="20">
        <f>P12-P16</f>
        <v>3333.2300000000005</v>
      </c>
      <c r="Q20" s="13"/>
      <c r="R20" s="22">
        <f>IF(P$12=0,0,P20/P$12)</f>
        <v>0.51007453950318227</v>
      </c>
      <c r="S20" s="13"/>
      <c r="T20" s="20">
        <f>T12-T16</f>
        <v>688.96</v>
      </c>
      <c r="U20" s="13"/>
      <c r="V20" s="22">
        <f>IF(T$12=0,0,T20/T$12)</f>
        <v>0</v>
      </c>
      <c r="W20" s="15"/>
      <c r="X20" s="20">
        <f>+P20-T20</f>
        <v>2644.2700000000004</v>
      </c>
      <c r="Y20" s="15"/>
      <c r="Z20" s="22">
        <f>IF(T20=0,0,X20/T20)</f>
        <v>3.8380602647468653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1">
        <f>SUM(OSRRefD22x_0)</f>
        <v>24826.400000000001</v>
      </c>
      <c r="E22" s="21"/>
      <c r="F22" s="32">
        <f t="shared" ref="F22:F30" si="14">IF(D$12=0,0,D22/D$12)</f>
        <v>3.7991121367327798</v>
      </c>
      <c r="G22" s="21"/>
      <c r="H22" s="21">
        <f>SUM(OSRRefH22x_0)</f>
        <v>9986.7300000000014</v>
      </c>
      <c r="I22" s="21"/>
      <c r="J22" s="32">
        <f t="shared" ref="J22:J30" si="15">IF(H$12=0,0,H22/H$12)</f>
        <v>0</v>
      </c>
      <c r="K22" s="4"/>
      <c r="L22" s="21">
        <f t="shared" ref="L22:L30" si="16">+D22-H22</f>
        <v>14839.67</v>
      </c>
      <c r="M22" s="4"/>
      <c r="N22" s="32">
        <f t="shared" ref="N22:N30" si="17">IF(H22=0,0,L22/H22)</f>
        <v>1.4859388408417968</v>
      </c>
      <c r="O22" s="10"/>
      <c r="P22" s="21">
        <f>SUM(OSRRefP22x_0)</f>
        <v>34848.700000000004</v>
      </c>
      <c r="Q22" s="21"/>
      <c r="R22" s="32">
        <f t="shared" ref="R22:R30" si="18">IF(P$12=0,0,P22/P$12)</f>
        <v>5.3327956981020055</v>
      </c>
      <c r="S22" s="21"/>
      <c r="T22" s="21">
        <f>SUM(OSRRefT22x_0)</f>
        <v>24423.129999999997</v>
      </c>
      <c r="U22" s="21"/>
      <c r="V22" s="32">
        <f t="shared" ref="V22:V30" si="19">IF(T$12=0,0,T22/T$12)</f>
        <v>0</v>
      </c>
      <c r="W22" s="4"/>
      <c r="X22" s="21">
        <f t="shared" ref="X22:X30" si="20">+P22-T22</f>
        <v>10425.570000000007</v>
      </c>
      <c r="Y22" s="4"/>
      <c r="Z22" s="32">
        <f t="shared" ref="Z22:Z30" si="21">IF(T22=0,0,X22/T22)</f>
        <v>0.4268728045913856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199.45000000000002</v>
      </c>
      <c r="E23" s="1"/>
      <c r="F23" s="5">
        <f t="shared" si="14"/>
        <v>3.0521256230116044E-2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199.45000000000002</v>
      </c>
      <c r="M23" s="1"/>
      <c r="N23" s="5">
        <f t="shared" si="17"/>
        <v>0</v>
      </c>
      <c r="O23" s="14"/>
      <c r="P23" s="1">
        <f>SUM(OSRRefP22_0x_0)</f>
        <v>199.45000000000002</v>
      </c>
      <c r="Q23" s="1"/>
      <c r="R23" s="5">
        <f t="shared" si="18"/>
        <v>3.0521256230116044E-2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-2690.27</v>
      </c>
      <c r="Y23" s="1"/>
      <c r="Z23" s="5">
        <f t="shared" si="21"/>
        <v>-0.93097947205957676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161.21</v>
      </c>
      <c r="E24" s="2"/>
      <c r="F24" s="8">
        <f t="shared" si="14"/>
        <v>2.4669499708483367E-2</v>
      </c>
      <c r="G24" s="2"/>
      <c r="H24" s="7"/>
      <c r="I24" s="2"/>
      <c r="J24" s="8">
        <f t="shared" si="15"/>
        <v>0</v>
      </c>
      <c r="K24" s="2"/>
      <c r="L24" s="7">
        <f t="shared" si="16"/>
        <v>161.21</v>
      </c>
      <c r="M24" s="2"/>
      <c r="N24" s="8">
        <f t="shared" si="17"/>
        <v>0</v>
      </c>
      <c r="O24" s="11"/>
      <c r="P24" s="7">
        <v>161.21</v>
      </c>
      <c r="Q24" s="2"/>
      <c r="R24" s="8">
        <f t="shared" si="18"/>
        <v>2.4669499708483367E-2</v>
      </c>
      <c r="S24" s="2"/>
      <c r="T24" s="7">
        <v>159.12</v>
      </c>
      <c r="U24" s="2"/>
      <c r="V24" s="8">
        <f t="shared" si="19"/>
        <v>0</v>
      </c>
      <c r="W24" s="2"/>
      <c r="X24" s="7">
        <f t="shared" si="20"/>
        <v>2.0900000000000034</v>
      </c>
      <c r="Y24" s="2"/>
      <c r="Z24" s="8">
        <f t="shared" si="21"/>
        <v>1.3134741075917567E-2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32.53</v>
      </c>
      <c r="E25" s="2"/>
      <c r="F25" s="8">
        <f t="shared" si="14"/>
        <v>4.9779717481357472E-3</v>
      </c>
      <c r="G25" s="2"/>
      <c r="H25" s="7"/>
      <c r="I25" s="2"/>
      <c r="J25" s="8">
        <f t="shared" si="15"/>
        <v>0</v>
      </c>
      <c r="K25" s="2"/>
      <c r="L25" s="7">
        <f t="shared" si="16"/>
        <v>32.53</v>
      </c>
      <c r="M25" s="2"/>
      <c r="N25" s="8">
        <f t="shared" si="17"/>
        <v>0</v>
      </c>
      <c r="O25" s="11"/>
      <c r="P25" s="7">
        <v>32.53</v>
      </c>
      <c r="Q25" s="2"/>
      <c r="R25" s="8">
        <f t="shared" si="18"/>
        <v>4.9779717481357472E-3</v>
      </c>
      <c r="S25" s="2"/>
      <c r="T25" s="7"/>
      <c r="U25" s="2"/>
      <c r="V25" s="8">
        <f t="shared" si="19"/>
        <v>0</v>
      </c>
      <c r="W25" s="2"/>
      <c r="X25" s="7">
        <f t="shared" si="20"/>
        <v>32.53</v>
      </c>
      <c r="Y25" s="2"/>
      <c r="Z25" s="8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8">
        <f t="shared" si="14"/>
        <v>0</v>
      </c>
      <c r="G26" s="2"/>
      <c r="H26" s="7"/>
      <c r="I26" s="2"/>
      <c r="J26" s="8">
        <f t="shared" si="15"/>
        <v>0</v>
      </c>
      <c r="K26" s="2"/>
      <c r="L26" s="7">
        <f t="shared" si="16"/>
        <v>0</v>
      </c>
      <c r="M26" s="2"/>
      <c r="N26" s="8">
        <f t="shared" si="17"/>
        <v>0</v>
      </c>
      <c r="O26" s="11"/>
      <c r="P26" s="7"/>
      <c r="Q26" s="2"/>
      <c r="R26" s="8">
        <f t="shared" si="18"/>
        <v>0</v>
      </c>
      <c r="S26" s="2"/>
      <c r="T26" s="7">
        <v>1915.63</v>
      </c>
      <c r="U26" s="2"/>
      <c r="V26" s="8">
        <f t="shared" si="19"/>
        <v>0</v>
      </c>
      <c r="W26" s="2"/>
      <c r="X26" s="7">
        <f t="shared" si="20"/>
        <v>-1915.63</v>
      </c>
      <c r="Y26" s="2"/>
      <c r="Z26" s="8">
        <f t="shared" si="21"/>
        <v>-1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5.71</v>
      </c>
      <c r="E27" s="2"/>
      <c r="F27" s="8">
        <f t="shared" si="14"/>
        <v>8.7378477349692955E-4</v>
      </c>
      <c r="G27" s="2"/>
      <c r="H27" s="7"/>
      <c r="I27" s="2"/>
      <c r="J27" s="8">
        <f t="shared" si="15"/>
        <v>0</v>
      </c>
      <c r="K27" s="2"/>
      <c r="L27" s="7">
        <f t="shared" si="16"/>
        <v>5.71</v>
      </c>
      <c r="M27" s="2"/>
      <c r="N27" s="8">
        <f t="shared" si="17"/>
        <v>0</v>
      </c>
      <c r="O27" s="11"/>
      <c r="P27" s="7">
        <v>5.71</v>
      </c>
      <c r="Q27" s="2"/>
      <c r="R27" s="8">
        <f t="shared" si="18"/>
        <v>8.7378477349692955E-4</v>
      </c>
      <c r="S27" s="2"/>
      <c r="T27" s="7"/>
      <c r="U27" s="2"/>
      <c r="V27" s="8">
        <f t="shared" si="19"/>
        <v>0</v>
      </c>
      <c r="W27" s="2"/>
      <c r="X27" s="7">
        <f t="shared" si="20"/>
        <v>5.71</v>
      </c>
      <c r="Y27" s="2"/>
      <c r="Z27" s="8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/>
      <c r="E28" s="2"/>
      <c r="F28" s="8">
        <f t="shared" si="14"/>
        <v>0</v>
      </c>
      <c r="G28" s="2"/>
      <c r="H28" s="7"/>
      <c r="I28" s="2"/>
      <c r="J28" s="8">
        <f t="shared" si="15"/>
        <v>0</v>
      </c>
      <c r="K28" s="2"/>
      <c r="L28" s="7">
        <f t="shared" si="16"/>
        <v>0</v>
      </c>
      <c r="M28" s="2"/>
      <c r="N28" s="8">
        <f t="shared" si="17"/>
        <v>0</v>
      </c>
      <c r="O28" s="11"/>
      <c r="P28" s="7"/>
      <c r="Q28" s="2"/>
      <c r="R28" s="8">
        <f t="shared" si="18"/>
        <v>0</v>
      </c>
      <c r="S28" s="2"/>
      <c r="T28" s="7">
        <v>458.89</v>
      </c>
      <c r="U28" s="2"/>
      <c r="V28" s="8">
        <f t="shared" si="19"/>
        <v>0</v>
      </c>
      <c r="W28" s="2"/>
      <c r="X28" s="7">
        <f t="shared" si="20"/>
        <v>-458.89</v>
      </c>
      <c r="Y28" s="2"/>
      <c r="Z28" s="8">
        <f t="shared" si="21"/>
        <v>-1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/>
      <c r="E29" s="2"/>
      <c r="F29" s="8">
        <f t="shared" si="14"/>
        <v>0</v>
      </c>
      <c r="G29" s="2"/>
      <c r="H29" s="7"/>
      <c r="I29" s="2"/>
      <c r="J29" s="8">
        <f t="shared" si="15"/>
        <v>0</v>
      </c>
      <c r="K29" s="2"/>
      <c r="L29" s="7">
        <f t="shared" si="16"/>
        <v>0</v>
      </c>
      <c r="M29" s="2"/>
      <c r="N29" s="8">
        <f t="shared" si="17"/>
        <v>0</v>
      </c>
      <c r="O29" s="11"/>
      <c r="P29" s="7"/>
      <c r="Q29" s="2"/>
      <c r="R29" s="8">
        <f t="shared" si="18"/>
        <v>0</v>
      </c>
      <c r="S29" s="2"/>
      <c r="T29" s="7">
        <v>152.1</v>
      </c>
      <c r="U29" s="2"/>
      <c r="V29" s="8">
        <f t="shared" si="19"/>
        <v>0</v>
      </c>
      <c r="W29" s="2"/>
      <c r="X29" s="7">
        <f t="shared" si="20"/>
        <v>-152.1</v>
      </c>
      <c r="Y29" s="2"/>
      <c r="Z29" s="8">
        <f t="shared" si="21"/>
        <v>-1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/>
      <c r="E30" s="2"/>
      <c r="F30" s="8">
        <f t="shared" si="14"/>
        <v>0</v>
      </c>
      <c r="G30" s="2"/>
      <c r="H30" s="7"/>
      <c r="I30" s="2"/>
      <c r="J30" s="8">
        <f t="shared" si="15"/>
        <v>0</v>
      </c>
      <c r="K30" s="2"/>
      <c r="L30" s="7">
        <f t="shared" si="16"/>
        <v>0</v>
      </c>
      <c r="M30" s="2"/>
      <c r="N30" s="8">
        <f t="shared" si="17"/>
        <v>0</v>
      </c>
      <c r="O30" s="11"/>
      <c r="P30" s="7"/>
      <c r="Q30" s="2"/>
      <c r="R30" s="8">
        <f t="shared" si="18"/>
        <v>0</v>
      </c>
      <c r="S30" s="2"/>
      <c r="T30" s="7">
        <v>203.98</v>
      </c>
      <c r="U30" s="2"/>
      <c r="V30" s="8">
        <f t="shared" si="19"/>
        <v>0</v>
      </c>
      <c r="W30" s="2"/>
      <c r="X30" s="7">
        <f t="shared" si="20"/>
        <v>-203.98</v>
      </c>
      <c r="Y30" s="2"/>
      <c r="Z30" s="8">
        <f t="shared" si="21"/>
        <v>-1</v>
      </c>
    </row>
    <row r="31" spans="1:26" s="28" customFormat="1" outlineLevel="1" collapsed="1" x14ac:dyDescent="0.3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3536.3599999999997</v>
      </c>
      <c r="E31" s="1"/>
      <c r="F31" s="5">
        <f t="shared" ref="F31:F34" si="22">IF(D$12=0,0,D31/D$12)</f>
        <v>0.54115893548224192</v>
      </c>
      <c r="G31" s="1"/>
      <c r="H31" s="1">
        <f>SUM(OSRRefH22_1x_0)</f>
        <v>0</v>
      </c>
      <c r="I31" s="1"/>
      <c r="J31" s="5">
        <f t="shared" ref="J31:J34" si="23">IF(H$12=0,0,H31/H$12)</f>
        <v>0</v>
      </c>
      <c r="K31" s="1"/>
      <c r="L31" s="1">
        <f t="shared" ref="L31:L34" si="24">+D31-H31</f>
        <v>3536.3599999999997</v>
      </c>
      <c r="M31" s="1"/>
      <c r="N31" s="5">
        <f t="shared" ref="N31:N34" si="25">IF(H31=0,0,L31/H31)</f>
        <v>0</v>
      </c>
      <c r="O31" s="14"/>
      <c r="P31" s="1">
        <f>SUM(OSRRefP22_1x_0)</f>
        <v>3536.3599999999997</v>
      </c>
      <c r="Q31" s="1"/>
      <c r="R31" s="5">
        <f t="shared" ref="R31:R34" si="26">IF(P$12=0,0,P31/P$12)</f>
        <v>0.54115893548224192</v>
      </c>
      <c r="S31" s="1"/>
      <c r="T31" s="1">
        <f>SUM(OSRRefT22_1x_0)</f>
        <v>884</v>
      </c>
      <c r="U31" s="1"/>
      <c r="V31" s="5">
        <f t="shared" ref="V31:V34" si="27">IF(T$12=0,0,T31/T$12)</f>
        <v>0</v>
      </c>
      <c r="W31" s="1"/>
      <c r="X31" s="1">
        <f t="shared" ref="X31:X34" si="28">+P31-T31</f>
        <v>2652.3599999999997</v>
      </c>
      <c r="Y31" s="1"/>
      <c r="Z31" s="5">
        <f t="shared" ref="Z31:Z34" si="29">IF(T31=0,0,X31/T31)</f>
        <v>3.0004072398190043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8">
        <f t="shared" si="22"/>
        <v>0</v>
      </c>
      <c r="G32" s="2"/>
      <c r="H32" s="7"/>
      <c r="I32" s="2"/>
      <c r="J32" s="8">
        <f t="shared" si="23"/>
        <v>0</v>
      </c>
      <c r="K32" s="2"/>
      <c r="L32" s="7">
        <f t="shared" si="24"/>
        <v>0</v>
      </c>
      <c r="M32" s="2"/>
      <c r="N32" s="8">
        <f t="shared" si="25"/>
        <v>0</v>
      </c>
      <c r="O32" s="11"/>
      <c r="P32" s="7"/>
      <c r="Q32" s="2"/>
      <c r="R32" s="8">
        <f t="shared" si="26"/>
        <v>0</v>
      </c>
      <c r="S32" s="2"/>
      <c r="T32" s="7">
        <v>884</v>
      </c>
      <c r="U32" s="2"/>
      <c r="V32" s="8">
        <f t="shared" si="27"/>
        <v>0</v>
      </c>
      <c r="W32" s="2"/>
      <c r="X32" s="7">
        <f t="shared" si="28"/>
        <v>-884</v>
      </c>
      <c r="Y32" s="2"/>
      <c r="Z32" s="8">
        <f t="shared" si="29"/>
        <v>-1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1258.8</v>
      </c>
      <c r="E33" s="2"/>
      <c r="F33" s="8">
        <f t="shared" si="22"/>
        <v>0.1926305206441217</v>
      </c>
      <c r="G33" s="2"/>
      <c r="H33" s="7"/>
      <c r="I33" s="2"/>
      <c r="J33" s="8">
        <f t="shared" si="23"/>
        <v>0</v>
      </c>
      <c r="K33" s="2"/>
      <c r="L33" s="7">
        <f t="shared" si="24"/>
        <v>1258.8</v>
      </c>
      <c r="M33" s="2"/>
      <c r="N33" s="8">
        <f t="shared" si="25"/>
        <v>0</v>
      </c>
      <c r="O33" s="11"/>
      <c r="P33" s="7">
        <v>1258.8</v>
      </c>
      <c r="Q33" s="2"/>
      <c r="R33" s="8">
        <f t="shared" si="26"/>
        <v>0.1926305206441217</v>
      </c>
      <c r="S33" s="2"/>
      <c r="T33" s="7"/>
      <c r="U33" s="2"/>
      <c r="V33" s="8">
        <f t="shared" si="27"/>
        <v>0</v>
      </c>
      <c r="W33" s="2"/>
      <c r="X33" s="7">
        <f t="shared" si="28"/>
        <v>1258.8</v>
      </c>
      <c r="Y33" s="2"/>
      <c r="Z33" s="8">
        <f t="shared" si="29"/>
        <v>0</v>
      </c>
    </row>
    <row r="34" spans="1:26" s="24" customFormat="1" hidden="1" outlineLevel="2" x14ac:dyDescent="0.3">
      <c r="A34" s="27"/>
      <c r="B34" s="11" t="str">
        <f>CONCATENATE("          ", "6007", " - ", "STUDENT HOURLY")</f>
        <v xml:space="preserve">          6007 - STUDENT HOURLY</v>
      </c>
      <c r="C34" s="11"/>
      <c r="D34" s="7">
        <v>2277.56</v>
      </c>
      <c r="E34" s="2"/>
      <c r="F34" s="8">
        <f t="shared" si="22"/>
        <v>0.34852841483812025</v>
      </c>
      <c r="G34" s="2"/>
      <c r="H34" s="7"/>
      <c r="I34" s="2"/>
      <c r="J34" s="8">
        <f t="shared" si="23"/>
        <v>0</v>
      </c>
      <c r="K34" s="2"/>
      <c r="L34" s="7">
        <f t="shared" si="24"/>
        <v>2277.56</v>
      </c>
      <c r="M34" s="2"/>
      <c r="N34" s="8">
        <f t="shared" si="25"/>
        <v>0</v>
      </c>
      <c r="O34" s="11"/>
      <c r="P34" s="7">
        <v>2277.56</v>
      </c>
      <c r="Q34" s="2"/>
      <c r="R34" s="8">
        <f t="shared" si="26"/>
        <v>0.34852841483812025</v>
      </c>
      <c r="S34" s="2"/>
      <c r="T34" s="7"/>
      <c r="U34" s="2"/>
      <c r="V34" s="8">
        <f t="shared" si="27"/>
        <v>0</v>
      </c>
      <c r="W34" s="2"/>
      <c r="X34" s="7">
        <f t="shared" si="28"/>
        <v>2277.56</v>
      </c>
      <c r="Y34" s="2"/>
      <c r="Z34" s="8">
        <f t="shared" si="29"/>
        <v>0</v>
      </c>
    </row>
    <row r="35" spans="1:26" s="28" customFormat="1" outlineLevel="1" collapsed="1" x14ac:dyDescent="0.3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87.97</v>
      </c>
      <c r="E35" s="1"/>
      <c r="F35" s="5">
        <f t="shared" ref="F35:F43" si="30">IF(D$12=0,0,D35/D$12)</f>
        <v>1.3461794487657599E-2</v>
      </c>
      <c r="G35" s="1"/>
      <c r="H35" s="1">
        <f>SUM(OSRRefH22_2x_0)</f>
        <v>0</v>
      </c>
      <c r="I35" s="1"/>
      <c r="J35" s="5">
        <f t="shared" ref="J35:J43" si="31">IF(H$12=0,0,H35/H$12)</f>
        <v>0</v>
      </c>
      <c r="K35" s="1"/>
      <c r="L35" s="1">
        <f t="shared" ref="L35:L43" si="32">+D35-H35</f>
        <v>87.97</v>
      </c>
      <c r="M35" s="1"/>
      <c r="N35" s="5">
        <f t="shared" ref="N35:N43" si="33">IF(H35=0,0,L35/H35)</f>
        <v>0</v>
      </c>
      <c r="O35" s="14"/>
      <c r="P35" s="1">
        <f>SUM(OSRRefP22_2x_0)</f>
        <v>87.97</v>
      </c>
      <c r="Q35" s="1"/>
      <c r="R35" s="5">
        <f t="shared" ref="R35:R43" si="34">IF(P$12=0,0,P35/P$12)</f>
        <v>1.3461794487657599E-2</v>
      </c>
      <c r="S35" s="1"/>
      <c r="T35" s="1">
        <f>SUM(OSRRefT22_2x_0)</f>
        <v>0</v>
      </c>
      <c r="U35" s="1"/>
      <c r="V35" s="5">
        <f t="shared" ref="V35:V43" si="35">IF(T$12=0,0,T35/T$12)</f>
        <v>0</v>
      </c>
      <c r="W35" s="1"/>
      <c r="X35" s="1">
        <f t="shared" ref="X35:X43" si="36">+P35-T35</f>
        <v>87.97</v>
      </c>
      <c r="Y35" s="1"/>
      <c r="Z35" s="5">
        <f t="shared" ref="Z35:Z43" si="37">IF(T35=0,0,X35/T35)</f>
        <v>0</v>
      </c>
    </row>
    <row r="36" spans="1:26" s="24" customFormat="1" hidden="1" outlineLevel="2" x14ac:dyDescent="0.3">
      <c r="A36" s="27"/>
      <c r="B36" s="11" t="str">
        <f>CONCATENATE("          ", "6362", " - ", "ADVERTISING EXPENSE")</f>
        <v xml:space="preserve">          6362 - ADVERTISING EXPENSE</v>
      </c>
      <c r="C36" s="11"/>
      <c r="D36" s="7">
        <v>87.97</v>
      </c>
      <c r="E36" s="2"/>
      <c r="F36" s="8">
        <f t="shared" si="30"/>
        <v>1.3461794487657599E-2</v>
      </c>
      <c r="G36" s="2"/>
      <c r="H36" s="7"/>
      <c r="I36" s="2"/>
      <c r="J36" s="8">
        <f t="shared" si="31"/>
        <v>0</v>
      </c>
      <c r="K36" s="2"/>
      <c r="L36" s="7">
        <f t="shared" si="32"/>
        <v>87.97</v>
      </c>
      <c r="M36" s="2"/>
      <c r="N36" s="8">
        <f t="shared" si="33"/>
        <v>0</v>
      </c>
      <c r="O36" s="11"/>
      <c r="P36" s="7">
        <v>87.97</v>
      </c>
      <c r="Q36" s="2"/>
      <c r="R36" s="8">
        <f t="shared" si="34"/>
        <v>1.3461794487657599E-2</v>
      </c>
      <c r="S36" s="2"/>
      <c r="T36" s="7"/>
      <c r="U36" s="2"/>
      <c r="V36" s="8">
        <f t="shared" si="35"/>
        <v>0</v>
      </c>
      <c r="W36" s="2"/>
      <c r="X36" s="7">
        <f t="shared" si="36"/>
        <v>87.97</v>
      </c>
      <c r="Y36" s="2"/>
      <c r="Z36" s="8">
        <f t="shared" si="37"/>
        <v>0</v>
      </c>
    </row>
    <row r="37" spans="1:26" s="28" customFormat="1" outlineLevel="1" collapsed="1" x14ac:dyDescent="0.3">
      <c r="A37" s="29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SUM(OSRRefD22_3x_0)</f>
        <v>-1.3</v>
      </c>
      <c r="E37" s="1"/>
      <c r="F37" s="5">
        <f t="shared" si="30"/>
        <v>-1.9893523739860042E-4</v>
      </c>
      <c r="G37" s="1"/>
      <c r="H37" s="1">
        <f>SUM(OSRRefH22_3x_0)</f>
        <v>0</v>
      </c>
      <c r="I37" s="1"/>
      <c r="J37" s="5">
        <f t="shared" si="31"/>
        <v>0</v>
      </c>
      <c r="K37" s="1"/>
      <c r="L37" s="1">
        <f t="shared" si="32"/>
        <v>-1.3</v>
      </c>
      <c r="M37" s="1"/>
      <c r="N37" s="5">
        <f t="shared" si="33"/>
        <v>0</v>
      </c>
      <c r="O37" s="14"/>
      <c r="P37" s="1">
        <f>SUM(OSRRefP22_3x_0)</f>
        <v>-1.3</v>
      </c>
      <c r="Q37" s="1"/>
      <c r="R37" s="5">
        <f t="shared" si="34"/>
        <v>-1.9893523739860042E-4</v>
      </c>
      <c r="S37" s="1"/>
      <c r="T37" s="1">
        <f>SUM(OSRRefT22_3x_0)</f>
        <v>0</v>
      </c>
      <c r="U37" s="1"/>
      <c r="V37" s="5">
        <f t="shared" si="35"/>
        <v>0</v>
      </c>
      <c r="W37" s="1"/>
      <c r="X37" s="1">
        <f t="shared" si="36"/>
        <v>-1.3</v>
      </c>
      <c r="Y37" s="1"/>
      <c r="Z37" s="5">
        <f t="shared" si="37"/>
        <v>0</v>
      </c>
    </row>
    <row r="38" spans="1:26" s="24" customFormat="1" hidden="1" outlineLevel="2" x14ac:dyDescent="0.3">
      <c r="A38" s="27"/>
      <c r="B38" s="11" t="str">
        <f>CONCATENATE("          ", "6272", " - ", "CASH (OVER/SHORT)")</f>
        <v xml:space="preserve">          6272 - CASH (OVER/SHORT)</v>
      </c>
      <c r="C38" s="11"/>
      <c r="D38" s="7">
        <v>-1.3</v>
      </c>
      <c r="E38" s="2"/>
      <c r="F38" s="8">
        <f t="shared" si="30"/>
        <v>-1.9893523739860042E-4</v>
      </c>
      <c r="G38" s="2"/>
      <c r="H38" s="7"/>
      <c r="I38" s="2"/>
      <c r="J38" s="8">
        <f t="shared" si="31"/>
        <v>0</v>
      </c>
      <c r="K38" s="2"/>
      <c r="L38" s="7">
        <f t="shared" si="32"/>
        <v>-1.3</v>
      </c>
      <c r="M38" s="2"/>
      <c r="N38" s="8">
        <f t="shared" si="33"/>
        <v>0</v>
      </c>
      <c r="O38" s="11"/>
      <c r="P38" s="7">
        <v>-1.3</v>
      </c>
      <c r="Q38" s="2"/>
      <c r="R38" s="8">
        <f t="shared" si="34"/>
        <v>-1.9893523739860042E-4</v>
      </c>
      <c r="S38" s="2"/>
      <c r="T38" s="7"/>
      <c r="U38" s="2"/>
      <c r="V38" s="8">
        <f t="shared" si="35"/>
        <v>0</v>
      </c>
      <c r="W38" s="2"/>
      <c r="X38" s="7">
        <f t="shared" si="36"/>
        <v>-1.3</v>
      </c>
      <c r="Y38" s="2"/>
      <c r="Z38" s="8">
        <f t="shared" si="37"/>
        <v>0</v>
      </c>
    </row>
    <row r="39" spans="1:26" s="28" customFormat="1" outlineLevel="1" collapsed="1" x14ac:dyDescent="0.3">
      <c r="A39" s="29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SUM(OSRRefD22_4x_0)</f>
        <v>319.22000000000003</v>
      </c>
      <c r="E39" s="1"/>
      <c r="F39" s="5">
        <f t="shared" si="30"/>
        <v>4.8849312678754794E-2</v>
      </c>
      <c r="G39" s="1"/>
      <c r="H39" s="1">
        <f>SUM(OSRRefH22_4x_0)</f>
        <v>0</v>
      </c>
      <c r="I39" s="1"/>
      <c r="J39" s="5">
        <f t="shared" si="31"/>
        <v>0</v>
      </c>
      <c r="K39" s="1"/>
      <c r="L39" s="1">
        <f t="shared" si="32"/>
        <v>319.22000000000003</v>
      </c>
      <c r="M39" s="1"/>
      <c r="N39" s="5">
        <f t="shared" si="33"/>
        <v>0</v>
      </c>
      <c r="O39" s="14"/>
      <c r="P39" s="1">
        <f>SUM(OSRRefP22_4x_0)</f>
        <v>319.56</v>
      </c>
      <c r="Q39" s="1"/>
      <c r="R39" s="5">
        <f t="shared" si="34"/>
        <v>4.8901341894689809E-2</v>
      </c>
      <c r="S39" s="1"/>
      <c r="T39" s="1">
        <f>SUM(OSRRefT22_4x_0)</f>
        <v>0</v>
      </c>
      <c r="U39" s="1"/>
      <c r="V39" s="5">
        <f t="shared" si="35"/>
        <v>0</v>
      </c>
      <c r="W39" s="1"/>
      <c r="X39" s="1">
        <f t="shared" si="36"/>
        <v>319.56</v>
      </c>
      <c r="Y39" s="1"/>
      <c r="Z39" s="5">
        <f t="shared" si="37"/>
        <v>0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7">
        <v>319.22000000000003</v>
      </c>
      <c r="E40" s="2"/>
      <c r="F40" s="8">
        <f t="shared" si="30"/>
        <v>4.8849312678754794E-2</v>
      </c>
      <c r="G40" s="2"/>
      <c r="H40" s="7"/>
      <c r="I40" s="2"/>
      <c r="J40" s="8">
        <f t="shared" si="31"/>
        <v>0</v>
      </c>
      <c r="K40" s="2"/>
      <c r="L40" s="7">
        <f t="shared" si="32"/>
        <v>319.22000000000003</v>
      </c>
      <c r="M40" s="2"/>
      <c r="N40" s="8">
        <f t="shared" si="33"/>
        <v>0</v>
      </c>
      <c r="O40" s="11"/>
      <c r="P40" s="7">
        <v>319.56</v>
      </c>
      <c r="Q40" s="2"/>
      <c r="R40" s="8">
        <f t="shared" si="34"/>
        <v>4.8901341894689809E-2</v>
      </c>
      <c r="S40" s="2"/>
      <c r="T40" s="7"/>
      <c r="U40" s="2"/>
      <c r="V40" s="8">
        <f t="shared" si="35"/>
        <v>0</v>
      </c>
      <c r="W40" s="2"/>
      <c r="X40" s="7">
        <f t="shared" si="36"/>
        <v>319.56</v>
      </c>
      <c r="Y40" s="2"/>
      <c r="Z40" s="8">
        <f t="shared" si="37"/>
        <v>0</v>
      </c>
    </row>
    <row r="41" spans="1:26" s="28" customFormat="1" outlineLevel="1" collapsed="1" x14ac:dyDescent="0.3">
      <c r="A41" s="29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SUM(OSRRefD22_5x_0)</f>
        <v>5471.21</v>
      </c>
      <c r="E41" s="1"/>
      <c r="F41" s="5">
        <f t="shared" si="30"/>
        <v>0.8372434309289204</v>
      </c>
      <c r="G41" s="1"/>
      <c r="H41" s="1">
        <f>SUM(OSRRefH22_5x_0)</f>
        <v>5582.59</v>
      </c>
      <c r="I41" s="1"/>
      <c r="J41" s="5">
        <f t="shared" si="31"/>
        <v>0</v>
      </c>
      <c r="K41" s="1"/>
      <c r="L41" s="1">
        <f t="shared" si="32"/>
        <v>-111.38000000000011</v>
      </c>
      <c r="M41" s="1"/>
      <c r="N41" s="5">
        <f t="shared" si="33"/>
        <v>-1.995131292106354E-2</v>
      </c>
      <c r="O41" s="14"/>
      <c r="P41" s="1">
        <f>SUM(OSRRefP22_5x_0)</f>
        <v>10942.42</v>
      </c>
      <c r="Q41" s="1"/>
      <c r="R41" s="5">
        <f t="shared" si="34"/>
        <v>1.6744868618578408</v>
      </c>
      <c r="S41" s="1"/>
      <c r="T41" s="1">
        <f>SUM(OSRRefT22_5x_0)</f>
        <v>11165.18</v>
      </c>
      <c r="U41" s="1"/>
      <c r="V41" s="5">
        <f t="shared" si="35"/>
        <v>0</v>
      </c>
      <c r="W41" s="1"/>
      <c r="X41" s="1">
        <f t="shared" si="36"/>
        <v>-222.76000000000022</v>
      </c>
      <c r="Y41" s="1"/>
      <c r="Z41" s="5">
        <f t="shared" si="37"/>
        <v>-1.995131292106354E-2</v>
      </c>
    </row>
    <row r="42" spans="1:26" s="24" customFormat="1" hidden="1" outlineLevel="2" x14ac:dyDescent="0.3">
      <c r="A42" s="27"/>
      <c r="B42" s="11" t="str">
        <f>CONCATENATE("          ", "6321", " - ", "BUILDING DEPRECIATION")</f>
        <v xml:space="preserve">          6321 - BUILDING DEPRECIATION</v>
      </c>
      <c r="C42" s="11"/>
      <c r="D42" s="7">
        <v>5080.51</v>
      </c>
      <c r="E42" s="2"/>
      <c r="F42" s="8">
        <f t="shared" si="30"/>
        <v>0.7774557407353565</v>
      </c>
      <c r="G42" s="2"/>
      <c r="H42" s="7">
        <v>5080.51</v>
      </c>
      <c r="I42" s="2"/>
      <c r="J42" s="8">
        <f t="shared" si="31"/>
        <v>0</v>
      </c>
      <c r="K42" s="2"/>
      <c r="L42" s="7">
        <f t="shared" si="32"/>
        <v>0</v>
      </c>
      <c r="M42" s="2"/>
      <c r="N42" s="8">
        <f t="shared" si="33"/>
        <v>0</v>
      </c>
      <c r="O42" s="11"/>
      <c r="P42" s="7">
        <v>10161.02</v>
      </c>
      <c r="Q42" s="2"/>
      <c r="R42" s="8">
        <f t="shared" si="34"/>
        <v>1.554911481470713</v>
      </c>
      <c r="S42" s="2"/>
      <c r="T42" s="7">
        <v>10161.02</v>
      </c>
      <c r="U42" s="2"/>
      <c r="V42" s="8">
        <f t="shared" si="35"/>
        <v>0</v>
      </c>
      <c r="W42" s="2"/>
      <c r="X42" s="7">
        <f t="shared" si="36"/>
        <v>0</v>
      </c>
      <c r="Y42" s="2"/>
      <c r="Z42" s="8">
        <f t="shared" si="37"/>
        <v>0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390.7</v>
      </c>
      <c r="E43" s="2"/>
      <c r="F43" s="8">
        <f t="shared" si="30"/>
        <v>5.9787690193563982E-2</v>
      </c>
      <c r="G43" s="2"/>
      <c r="H43" s="7">
        <v>502.08</v>
      </c>
      <c r="I43" s="2"/>
      <c r="J43" s="8">
        <f t="shared" si="31"/>
        <v>0</v>
      </c>
      <c r="K43" s="2"/>
      <c r="L43" s="7">
        <f t="shared" si="32"/>
        <v>-111.38</v>
      </c>
      <c r="M43" s="2"/>
      <c r="N43" s="8">
        <f t="shared" si="33"/>
        <v>-0.22183715742511154</v>
      </c>
      <c r="O43" s="11"/>
      <c r="P43" s="7">
        <v>781.4</v>
      </c>
      <c r="Q43" s="2"/>
      <c r="R43" s="8">
        <f t="shared" si="34"/>
        <v>0.11957538038712796</v>
      </c>
      <c r="S43" s="2"/>
      <c r="T43" s="7">
        <v>1004.16</v>
      </c>
      <c r="U43" s="2"/>
      <c r="V43" s="8">
        <f t="shared" si="35"/>
        <v>0</v>
      </c>
      <c r="W43" s="2"/>
      <c r="X43" s="7">
        <f t="shared" si="36"/>
        <v>-222.76</v>
      </c>
      <c r="Y43" s="2"/>
      <c r="Z43" s="8">
        <f t="shared" si="37"/>
        <v>-0.22183715742511154</v>
      </c>
    </row>
    <row r="44" spans="1:26" s="28" customFormat="1" outlineLevel="1" collapsed="1" x14ac:dyDescent="0.3">
      <c r="A44" s="29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842.45</v>
      </c>
      <c r="E44" s="1"/>
      <c r="F44" s="5">
        <f t="shared" ref="F44:F52" si="38">IF(D$12=0,0,D44/D$12)</f>
        <v>0.12891768518957764</v>
      </c>
      <c r="G44" s="1"/>
      <c r="H44" s="1">
        <f>SUM(OSRRefH22_6x_0)</f>
        <v>0</v>
      </c>
      <c r="I44" s="1"/>
      <c r="J44" s="5">
        <f t="shared" ref="J44:J52" si="39">IF(H$12=0,0,H44/H$12)</f>
        <v>0</v>
      </c>
      <c r="K44" s="1"/>
      <c r="L44" s="1">
        <f t="shared" ref="L44:L52" si="40">+D44-H44</f>
        <v>842.45</v>
      </c>
      <c r="M44" s="1"/>
      <c r="N44" s="5">
        <f t="shared" ref="N44:N52" si="41">IF(H44=0,0,L44/H44)</f>
        <v>0</v>
      </c>
      <c r="O44" s="14"/>
      <c r="P44" s="1">
        <f>SUM(OSRRefP22_6x_0)</f>
        <v>842.45</v>
      </c>
      <c r="Q44" s="1"/>
      <c r="R44" s="5">
        <f t="shared" ref="R44:R52" si="42">IF(P$12=0,0,P44/P$12)</f>
        <v>0.12891768518957764</v>
      </c>
      <c r="S44" s="1"/>
      <c r="T44" s="1">
        <f>SUM(OSRRefT22_6x_0)</f>
        <v>754.55</v>
      </c>
      <c r="U44" s="1"/>
      <c r="V44" s="5">
        <f t="shared" ref="V44:V52" si="43">IF(T$12=0,0,T44/T$12)</f>
        <v>0</v>
      </c>
      <c r="W44" s="1"/>
      <c r="X44" s="1">
        <f t="shared" ref="X44:X52" si="44">+P44-T44</f>
        <v>87.900000000000091</v>
      </c>
      <c r="Y44" s="1"/>
      <c r="Z44" s="5">
        <f t="shared" ref="Z44:Z52" si="45">IF(T44=0,0,X44/T44)</f>
        <v>0.11649327413690291</v>
      </c>
    </row>
    <row r="45" spans="1:26" s="24" customFormat="1" hidden="1" outlineLevel="2" x14ac:dyDescent="0.3">
      <c r="A45" s="27"/>
      <c r="B45" s="11" t="str">
        <f>CONCATENATE("          ", "6279", " - ", "GENERAL EXPENSE")</f>
        <v xml:space="preserve">          6279 - GENERAL EXPENSE</v>
      </c>
      <c r="C45" s="11"/>
      <c r="D45" s="7">
        <v>842.45</v>
      </c>
      <c r="E45" s="2"/>
      <c r="F45" s="8">
        <f t="shared" si="38"/>
        <v>0.12891768518957764</v>
      </c>
      <c r="G45" s="2"/>
      <c r="H45" s="7"/>
      <c r="I45" s="2"/>
      <c r="J45" s="8">
        <f t="shared" si="39"/>
        <v>0</v>
      </c>
      <c r="K45" s="2"/>
      <c r="L45" s="7">
        <f t="shared" si="40"/>
        <v>842.45</v>
      </c>
      <c r="M45" s="2"/>
      <c r="N45" s="8">
        <f t="shared" si="41"/>
        <v>0</v>
      </c>
      <c r="O45" s="11"/>
      <c r="P45" s="7">
        <v>842.45</v>
      </c>
      <c r="Q45" s="2"/>
      <c r="R45" s="8">
        <f t="shared" si="42"/>
        <v>0.12891768518957764</v>
      </c>
      <c r="S45" s="2"/>
      <c r="T45" s="7">
        <v>754.55</v>
      </c>
      <c r="U45" s="2"/>
      <c r="V45" s="8">
        <f t="shared" si="43"/>
        <v>0</v>
      </c>
      <c r="W45" s="2"/>
      <c r="X45" s="7">
        <f t="shared" si="44"/>
        <v>87.900000000000091</v>
      </c>
      <c r="Y45" s="2"/>
      <c r="Z45" s="8">
        <f t="shared" si="45"/>
        <v>0.11649327413690291</v>
      </c>
    </row>
    <row r="46" spans="1:26" s="28" customFormat="1" outlineLevel="1" collapsed="1" x14ac:dyDescent="0.3">
      <c r="A46" s="29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SUM(OSRRefD22_7x_0)</f>
        <v>331.01</v>
      </c>
      <c r="E46" s="1"/>
      <c r="F46" s="5">
        <f t="shared" si="38"/>
        <v>5.0653502254854404E-2</v>
      </c>
      <c r="G46" s="1"/>
      <c r="H46" s="1">
        <f>SUM(OSRRefH22_7x_0)</f>
        <v>243.54</v>
      </c>
      <c r="I46" s="1"/>
      <c r="J46" s="5">
        <f t="shared" si="39"/>
        <v>0</v>
      </c>
      <c r="K46" s="1"/>
      <c r="L46" s="1">
        <f t="shared" si="40"/>
        <v>87.47</v>
      </c>
      <c r="M46" s="1"/>
      <c r="N46" s="5">
        <f t="shared" si="41"/>
        <v>0.35916071281924944</v>
      </c>
      <c r="O46" s="14"/>
      <c r="P46" s="1">
        <f>SUM(OSRRefP22_7x_0)</f>
        <v>662.02</v>
      </c>
      <c r="Q46" s="1"/>
      <c r="R46" s="5">
        <f t="shared" si="42"/>
        <v>0.10130700450970881</v>
      </c>
      <c r="S46" s="1"/>
      <c r="T46" s="1">
        <f>SUM(OSRRefT22_7x_0)</f>
        <v>487.08</v>
      </c>
      <c r="U46" s="1"/>
      <c r="V46" s="5">
        <f t="shared" si="43"/>
        <v>0</v>
      </c>
      <c r="W46" s="1"/>
      <c r="X46" s="1">
        <f t="shared" si="44"/>
        <v>174.94</v>
      </c>
      <c r="Y46" s="1"/>
      <c r="Z46" s="5">
        <f t="shared" si="45"/>
        <v>0.35916071281924944</v>
      </c>
    </row>
    <row r="47" spans="1:26" s="24" customFormat="1" hidden="1" outlineLevel="2" x14ac:dyDescent="0.3">
      <c r="A47" s="27"/>
      <c r="B47" s="11" t="str">
        <f>CONCATENATE("          ", "6314", " - ", "LIABILITY INSURANCE")</f>
        <v xml:space="preserve">          6314 - LIABILITY INSURANCE</v>
      </c>
      <c r="C47" s="11"/>
      <c r="D47" s="7">
        <v>331.01</v>
      </c>
      <c r="E47" s="2"/>
      <c r="F47" s="8">
        <f t="shared" si="38"/>
        <v>5.0653502254854404E-2</v>
      </c>
      <c r="G47" s="2"/>
      <c r="H47" s="7">
        <v>243.54</v>
      </c>
      <c r="I47" s="2"/>
      <c r="J47" s="8">
        <f t="shared" si="39"/>
        <v>0</v>
      </c>
      <c r="K47" s="2"/>
      <c r="L47" s="7">
        <f t="shared" si="40"/>
        <v>87.47</v>
      </c>
      <c r="M47" s="2"/>
      <c r="N47" s="8">
        <f t="shared" si="41"/>
        <v>0.35916071281924944</v>
      </c>
      <c r="O47" s="11"/>
      <c r="P47" s="7">
        <v>662.02</v>
      </c>
      <c r="Q47" s="2"/>
      <c r="R47" s="8">
        <f t="shared" si="42"/>
        <v>0.10130700450970881</v>
      </c>
      <c r="S47" s="2"/>
      <c r="T47" s="7">
        <v>487.08</v>
      </c>
      <c r="U47" s="2"/>
      <c r="V47" s="8">
        <f t="shared" si="43"/>
        <v>0</v>
      </c>
      <c r="W47" s="2"/>
      <c r="X47" s="7">
        <f t="shared" si="44"/>
        <v>174.94</v>
      </c>
      <c r="Y47" s="2"/>
      <c r="Z47" s="8">
        <f t="shared" si="45"/>
        <v>0.35916071281924944</v>
      </c>
    </row>
    <row r="48" spans="1:26" s="28" customFormat="1" outlineLevel="1" collapsed="1" x14ac:dyDescent="0.3">
      <c r="A48" s="29"/>
      <c r="B48" s="14" t="str">
        <f>CONCATENATE("     ","Interest                                          ")</f>
        <v xml:space="preserve">     Interest                                          </v>
      </c>
      <c r="C48" s="14"/>
      <c r="D48" s="1">
        <f>SUM(OSRRefD22_8x_0)</f>
        <v>3905</v>
      </c>
      <c r="E48" s="1"/>
      <c r="F48" s="5">
        <f t="shared" si="38"/>
        <v>0.59757084772425739</v>
      </c>
      <c r="G48" s="1"/>
      <c r="H48" s="1">
        <f>SUM(OSRRefH22_8x_0)</f>
        <v>4044</v>
      </c>
      <c r="I48" s="1"/>
      <c r="J48" s="5">
        <f t="shared" si="39"/>
        <v>0</v>
      </c>
      <c r="K48" s="1"/>
      <c r="L48" s="1">
        <f t="shared" si="40"/>
        <v>-139</v>
      </c>
      <c r="M48" s="1"/>
      <c r="N48" s="5">
        <f t="shared" si="41"/>
        <v>-3.4371909000989118E-2</v>
      </c>
      <c r="O48" s="14"/>
      <c r="P48" s="1">
        <f>SUM(OSRRefP22_8x_0)</f>
        <v>7810</v>
      </c>
      <c r="Q48" s="1"/>
      <c r="R48" s="5">
        <f t="shared" si="42"/>
        <v>1.1951416954485148</v>
      </c>
      <c r="S48" s="1"/>
      <c r="T48" s="1">
        <f>SUM(OSRRefT22_8x_0)</f>
        <v>8088</v>
      </c>
      <c r="U48" s="1"/>
      <c r="V48" s="5">
        <f t="shared" si="43"/>
        <v>0</v>
      </c>
      <c r="W48" s="1"/>
      <c r="X48" s="1">
        <f t="shared" si="44"/>
        <v>-278</v>
      </c>
      <c r="Y48" s="1"/>
      <c r="Z48" s="5">
        <f t="shared" si="45"/>
        <v>-3.4371909000989118E-2</v>
      </c>
    </row>
    <row r="49" spans="1:26" s="24" customFormat="1" hidden="1" outlineLevel="2" x14ac:dyDescent="0.3">
      <c r="A49" s="27"/>
      <c r="B49" s="11" t="str">
        <f>CONCATENATE("          ", "6401", " - ", "INTEREST EXPENSE")</f>
        <v xml:space="preserve">          6401 - INTEREST EXPENSE</v>
      </c>
      <c r="C49" s="11"/>
      <c r="D49" s="7">
        <v>3905</v>
      </c>
      <c r="E49" s="2"/>
      <c r="F49" s="8">
        <f t="shared" si="38"/>
        <v>0.59757084772425739</v>
      </c>
      <c r="G49" s="2"/>
      <c r="H49" s="7">
        <v>4044</v>
      </c>
      <c r="I49" s="2"/>
      <c r="J49" s="8">
        <f t="shared" si="39"/>
        <v>0</v>
      </c>
      <c r="K49" s="2"/>
      <c r="L49" s="7">
        <f t="shared" si="40"/>
        <v>-139</v>
      </c>
      <c r="M49" s="2"/>
      <c r="N49" s="8">
        <f t="shared" si="41"/>
        <v>-3.4371909000989118E-2</v>
      </c>
      <c r="O49" s="11"/>
      <c r="P49" s="7">
        <v>7810</v>
      </c>
      <c r="Q49" s="2"/>
      <c r="R49" s="8">
        <f t="shared" si="42"/>
        <v>1.1951416954485148</v>
      </c>
      <c r="S49" s="2"/>
      <c r="T49" s="7">
        <v>8088</v>
      </c>
      <c r="U49" s="2"/>
      <c r="V49" s="8">
        <f t="shared" si="43"/>
        <v>0</v>
      </c>
      <c r="W49" s="2"/>
      <c r="X49" s="7">
        <f t="shared" si="44"/>
        <v>-278</v>
      </c>
      <c r="Y49" s="2"/>
      <c r="Z49" s="8">
        <f t="shared" si="45"/>
        <v>-3.4371909000989118E-2</v>
      </c>
    </row>
    <row r="50" spans="1:26" s="28" customFormat="1" outlineLevel="1" collapsed="1" x14ac:dyDescent="0.3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SUM(OSRRefD22_9x_0)</f>
        <v>1922.99</v>
      </c>
      <c r="E50" s="1"/>
      <c r="F50" s="5">
        <f t="shared" si="38"/>
        <v>0.29426959397318048</v>
      </c>
      <c r="G50" s="1"/>
      <c r="H50" s="1">
        <f>SUM(OSRRefH22_9x_0)</f>
        <v>78.599999999999994</v>
      </c>
      <c r="I50" s="1"/>
      <c r="J50" s="5">
        <f t="shared" si="39"/>
        <v>0</v>
      </c>
      <c r="K50" s="1"/>
      <c r="L50" s="1">
        <f t="shared" si="40"/>
        <v>1844.39</v>
      </c>
      <c r="M50" s="1"/>
      <c r="N50" s="5">
        <f t="shared" si="41"/>
        <v>23.465521628498731</v>
      </c>
      <c r="O50" s="14"/>
      <c r="P50" s="1">
        <f>SUM(OSRRefP22_9x_0)</f>
        <v>1922.99</v>
      </c>
      <c r="Q50" s="1"/>
      <c r="R50" s="5">
        <f t="shared" si="42"/>
        <v>0.29426959397318048</v>
      </c>
      <c r="S50" s="1"/>
      <c r="T50" s="1">
        <f>SUM(OSRRefT22_9x_0)</f>
        <v>78.599999999999994</v>
      </c>
      <c r="U50" s="1"/>
      <c r="V50" s="5">
        <f t="shared" si="43"/>
        <v>0</v>
      </c>
      <c r="W50" s="1"/>
      <c r="X50" s="1">
        <f t="shared" si="44"/>
        <v>1844.39</v>
      </c>
      <c r="Y50" s="1"/>
      <c r="Z50" s="5">
        <f t="shared" si="45"/>
        <v>23.465521628498731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7"/>
      <c r="E51" s="2"/>
      <c r="F51" s="8">
        <f t="shared" si="38"/>
        <v>0</v>
      </c>
      <c r="G51" s="2"/>
      <c r="H51" s="7">
        <v>78.599999999999994</v>
      </c>
      <c r="I51" s="2"/>
      <c r="J51" s="8">
        <f t="shared" si="39"/>
        <v>0</v>
      </c>
      <c r="K51" s="2"/>
      <c r="L51" s="7">
        <f t="shared" si="40"/>
        <v>-78.599999999999994</v>
      </c>
      <c r="M51" s="2"/>
      <c r="N51" s="8">
        <f t="shared" si="41"/>
        <v>-1</v>
      </c>
      <c r="O51" s="11"/>
      <c r="P51" s="7"/>
      <c r="Q51" s="2"/>
      <c r="R51" s="8">
        <f t="shared" si="42"/>
        <v>0</v>
      </c>
      <c r="S51" s="2"/>
      <c r="T51" s="7">
        <v>78.599999999999994</v>
      </c>
      <c r="U51" s="2"/>
      <c r="V51" s="8">
        <f t="shared" si="43"/>
        <v>0</v>
      </c>
      <c r="W51" s="2"/>
      <c r="X51" s="7">
        <f t="shared" si="44"/>
        <v>-78.599999999999994</v>
      </c>
      <c r="Y51" s="2"/>
      <c r="Z51" s="8">
        <f t="shared" si="45"/>
        <v>-1</v>
      </c>
    </row>
    <row r="52" spans="1:26" s="24" customFormat="1" hidden="1" outlineLevel="2" x14ac:dyDescent="0.3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1922.99</v>
      </c>
      <c r="E52" s="2"/>
      <c r="F52" s="8">
        <f t="shared" si="38"/>
        <v>0.29426959397318048</v>
      </c>
      <c r="G52" s="2"/>
      <c r="H52" s="7"/>
      <c r="I52" s="2"/>
      <c r="J52" s="8">
        <f t="shared" si="39"/>
        <v>0</v>
      </c>
      <c r="K52" s="2"/>
      <c r="L52" s="7">
        <f t="shared" si="40"/>
        <v>1922.99</v>
      </c>
      <c r="M52" s="2"/>
      <c r="N52" s="8">
        <f t="shared" si="41"/>
        <v>0</v>
      </c>
      <c r="O52" s="11"/>
      <c r="P52" s="7">
        <v>1922.99</v>
      </c>
      <c r="Q52" s="2"/>
      <c r="R52" s="8">
        <f t="shared" si="42"/>
        <v>0.29426959397318048</v>
      </c>
      <c r="S52" s="2"/>
      <c r="T52" s="7"/>
      <c r="U52" s="2"/>
      <c r="V52" s="8">
        <f t="shared" si="43"/>
        <v>0</v>
      </c>
      <c r="W52" s="2"/>
      <c r="X52" s="7">
        <f t="shared" si="44"/>
        <v>1922.99</v>
      </c>
      <c r="Y52" s="2"/>
      <c r="Z52" s="8">
        <f t="shared" si="45"/>
        <v>0</v>
      </c>
    </row>
    <row r="53" spans="1:26" s="28" customFormat="1" outlineLevel="1" collapsed="1" x14ac:dyDescent="0.3">
      <c r="A53" s="29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7397.9199999999992</v>
      </c>
      <c r="E53" s="1"/>
      <c r="F53" s="5">
        <f t="shared" ref="F53:F56" si="46">IF(D$12=0,0,D53/D$12)</f>
        <v>1.1320822857352721</v>
      </c>
      <c r="G53" s="1"/>
      <c r="H53" s="1">
        <f>SUM(OSRRefH22_10x_0)</f>
        <v>0</v>
      </c>
      <c r="I53" s="1"/>
      <c r="J53" s="5">
        <f t="shared" ref="J53:J56" si="47">IF(H$12=0,0,H53/H$12)</f>
        <v>0</v>
      </c>
      <c r="K53" s="1"/>
      <c r="L53" s="1">
        <f t="shared" ref="L53:L56" si="48">+D53-H53</f>
        <v>7397.9199999999992</v>
      </c>
      <c r="M53" s="1"/>
      <c r="N53" s="5">
        <f t="shared" ref="N53:N56" si="49">IF(H53=0,0,L53/H53)</f>
        <v>0</v>
      </c>
      <c r="O53" s="14"/>
      <c r="P53" s="1">
        <f>SUM(OSRRefP22_10x_0)</f>
        <v>7397.9199999999992</v>
      </c>
      <c r="Q53" s="1"/>
      <c r="R53" s="5">
        <f t="shared" ref="R53:R56" si="50">IF(P$12=0,0,P53/P$12)</f>
        <v>1.1320822857352721</v>
      </c>
      <c r="S53" s="1"/>
      <c r="T53" s="1">
        <f>SUM(OSRRefT22_10x_0)</f>
        <v>0</v>
      </c>
      <c r="U53" s="1"/>
      <c r="V53" s="5">
        <f t="shared" ref="V53:V56" si="51">IF(T$12=0,0,T53/T$12)</f>
        <v>0</v>
      </c>
      <c r="W53" s="1"/>
      <c r="X53" s="1">
        <f t="shared" ref="X53:X56" si="52">+P53-T53</f>
        <v>7397.9199999999992</v>
      </c>
      <c r="Y53" s="1"/>
      <c r="Z53" s="5">
        <f t="shared" ref="Z53:Z56" si="53">IF(T53=0,0,X53/T53)</f>
        <v>0</v>
      </c>
    </row>
    <row r="54" spans="1:26" s="24" customFormat="1" hidden="1" outlineLevel="2" x14ac:dyDescent="0.3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7">
        <v>168.4</v>
      </c>
      <c r="E54" s="2"/>
      <c r="F54" s="8">
        <f t="shared" si="46"/>
        <v>2.5769764598403317E-2</v>
      </c>
      <c r="G54" s="2"/>
      <c r="H54" s="7"/>
      <c r="I54" s="2"/>
      <c r="J54" s="8">
        <f t="shared" si="47"/>
        <v>0</v>
      </c>
      <c r="K54" s="2"/>
      <c r="L54" s="7">
        <f t="shared" si="48"/>
        <v>168.4</v>
      </c>
      <c r="M54" s="2"/>
      <c r="N54" s="8">
        <f t="shared" si="49"/>
        <v>0</v>
      </c>
      <c r="O54" s="11"/>
      <c r="P54" s="7">
        <v>168.4</v>
      </c>
      <c r="Q54" s="2"/>
      <c r="R54" s="8">
        <f t="shared" si="50"/>
        <v>2.5769764598403317E-2</v>
      </c>
      <c r="S54" s="2"/>
      <c r="T54" s="7"/>
      <c r="U54" s="2"/>
      <c r="V54" s="8">
        <f t="shared" si="51"/>
        <v>0</v>
      </c>
      <c r="W54" s="2"/>
      <c r="X54" s="7">
        <f t="shared" si="52"/>
        <v>168.4</v>
      </c>
      <c r="Y54" s="2"/>
      <c r="Z54" s="8">
        <f t="shared" si="53"/>
        <v>0</v>
      </c>
    </row>
    <row r="55" spans="1:26" s="24" customFormat="1" hidden="1" outlineLevel="2" x14ac:dyDescent="0.3">
      <c r="A55" s="27"/>
      <c r="B55" s="11" t="str">
        <f>CONCATENATE("          ", "6285", " - ", "JANITORIAL SERVICES")</f>
        <v xml:space="preserve">          6285 - JANITORIAL SERVICES</v>
      </c>
      <c r="C55" s="11"/>
      <c r="D55" s="7">
        <v>7177.58</v>
      </c>
      <c r="E55" s="2"/>
      <c r="F55" s="8">
        <f t="shared" si="46"/>
        <v>1.0983642932672664</v>
      </c>
      <c r="G55" s="2"/>
      <c r="H55" s="7"/>
      <c r="I55" s="2"/>
      <c r="J55" s="8">
        <f t="shared" si="47"/>
        <v>0</v>
      </c>
      <c r="K55" s="2"/>
      <c r="L55" s="7">
        <f t="shared" si="48"/>
        <v>7177.58</v>
      </c>
      <c r="M55" s="2"/>
      <c r="N55" s="8">
        <f t="shared" si="49"/>
        <v>0</v>
      </c>
      <c r="O55" s="11"/>
      <c r="P55" s="7">
        <v>7177.58</v>
      </c>
      <c r="Q55" s="2"/>
      <c r="R55" s="8">
        <f t="shared" si="50"/>
        <v>1.0983642932672664</v>
      </c>
      <c r="S55" s="2"/>
      <c r="T55" s="7"/>
      <c r="U55" s="2"/>
      <c r="V55" s="8">
        <f t="shared" si="51"/>
        <v>0</v>
      </c>
      <c r="W55" s="2"/>
      <c r="X55" s="7">
        <f t="shared" si="52"/>
        <v>7177.58</v>
      </c>
      <c r="Y55" s="2"/>
      <c r="Z55" s="8">
        <f t="shared" si="53"/>
        <v>0</v>
      </c>
    </row>
    <row r="56" spans="1:26" s="24" customFormat="1" hidden="1" outlineLevel="2" x14ac:dyDescent="0.3">
      <c r="A56" s="27"/>
      <c r="B56" s="11" t="str">
        <f>CONCATENATE("          ", "6286", " - ", "LAUNDRY EXPENSE")</f>
        <v xml:space="preserve">          6286 - LAUNDRY EXPENSE</v>
      </c>
      <c r="C56" s="11"/>
      <c r="D56" s="7">
        <v>51.94</v>
      </c>
      <c r="E56" s="2"/>
      <c r="F56" s="8">
        <f t="shared" si="46"/>
        <v>7.9482278696025432E-3</v>
      </c>
      <c r="G56" s="2"/>
      <c r="H56" s="7"/>
      <c r="I56" s="2"/>
      <c r="J56" s="8">
        <f t="shared" si="47"/>
        <v>0</v>
      </c>
      <c r="K56" s="2"/>
      <c r="L56" s="7">
        <f t="shared" si="48"/>
        <v>51.94</v>
      </c>
      <c r="M56" s="2"/>
      <c r="N56" s="8">
        <f t="shared" si="49"/>
        <v>0</v>
      </c>
      <c r="O56" s="11"/>
      <c r="P56" s="7">
        <v>51.94</v>
      </c>
      <c r="Q56" s="2"/>
      <c r="R56" s="8">
        <f t="shared" si="50"/>
        <v>7.9482278696025432E-3</v>
      </c>
      <c r="S56" s="2"/>
      <c r="T56" s="7"/>
      <c r="U56" s="2"/>
      <c r="V56" s="8">
        <f t="shared" si="51"/>
        <v>0</v>
      </c>
      <c r="W56" s="2"/>
      <c r="X56" s="7">
        <f t="shared" si="52"/>
        <v>51.94</v>
      </c>
      <c r="Y56" s="2"/>
      <c r="Z56" s="8">
        <f t="shared" si="53"/>
        <v>0</v>
      </c>
    </row>
    <row r="57" spans="1:26" s="28" customFormat="1" outlineLevel="1" collapsed="1" x14ac:dyDescent="0.3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692.12</v>
      </c>
      <c r="E57" s="1"/>
      <c r="F57" s="5">
        <f t="shared" ref="F57:F60" si="54">IF(D$12=0,0,D57/D$12)</f>
        <v>0.10591312039101486</v>
      </c>
      <c r="G57" s="1"/>
      <c r="H57" s="1">
        <f>SUM(OSRRefH22_11x_0)</f>
        <v>0</v>
      </c>
      <c r="I57" s="1"/>
      <c r="J57" s="5">
        <f t="shared" ref="J57:J60" si="55">IF(H$12=0,0,H57/H$12)</f>
        <v>0</v>
      </c>
      <c r="K57" s="1"/>
      <c r="L57" s="1">
        <f t="shared" ref="L57:L60" si="56">+D57-H57</f>
        <v>692.12</v>
      </c>
      <c r="M57" s="1"/>
      <c r="N57" s="5">
        <f t="shared" ref="N57:N60" si="57">IF(H57=0,0,L57/H57)</f>
        <v>0</v>
      </c>
      <c r="O57" s="14"/>
      <c r="P57" s="1">
        <f>SUM(OSRRefP22_11x_0)</f>
        <v>799.86</v>
      </c>
      <c r="Q57" s="1"/>
      <c r="R57" s="5">
        <f t="shared" ref="R57:R60" si="58">IF(P$12=0,0,P57/P$12)</f>
        <v>0.12240026075818811</v>
      </c>
      <c r="S57" s="1"/>
      <c r="T57" s="1">
        <f>SUM(OSRRefT22_11x_0)</f>
        <v>0</v>
      </c>
      <c r="U57" s="1"/>
      <c r="V57" s="5">
        <f t="shared" ref="V57:V60" si="59">IF(T$12=0,0,T57/T$12)</f>
        <v>0</v>
      </c>
      <c r="W57" s="1"/>
      <c r="X57" s="1">
        <f t="shared" ref="X57:X60" si="60">+P57-T57</f>
        <v>799.86</v>
      </c>
      <c r="Y57" s="1"/>
      <c r="Z57" s="5">
        <f t="shared" ref="Z57:Z60" si="61">IF(T57=0,0,X57/T57)</f>
        <v>0</v>
      </c>
    </row>
    <row r="58" spans="1:26" s="24" customFormat="1" hidden="1" outlineLevel="2" x14ac:dyDescent="0.3">
      <c r="A58" s="27"/>
      <c r="B58" s="11" t="str">
        <f>CONCATENATE("          ", "6237", " - ", "JANITORIAL SUPPLIES")</f>
        <v xml:space="preserve">          6237 - JANITORIAL SUPPLIES</v>
      </c>
      <c r="C58" s="11"/>
      <c r="D58" s="7">
        <v>369.62</v>
      </c>
      <c r="E58" s="2"/>
      <c r="F58" s="8">
        <f t="shared" si="54"/>
        <v>5.6561878805592838E-2</v>
      </c>
      <c r="G58" s="2"/>
      <c r="H58" s="7"/>
      <c r="I58" s="2"/>
      <c r="J58" s="8">
        <f t="shared" si="55"/>
        <v>0</v>
      </c>
      <c r="K58" s="2"/>
      <c r="L58" s="7">
        <f t="shared" si="56"/>
        <v>369.62</v>
      </c>
      <c r="M58" s="2"/>
      <c r="N58" s="8">
        <f t="shared" si="57"/>
        <v>0</v>
      </c>
      <c r="O58" s="11"/>
      <c r="P58" s="7">
        <v>369.62</v>
      </c>
      <c r="Q58" s="2"/>
      <c r="R58" s="8">
        <f t="shared" si="58"/>
        <v>5.6561878805592838E-2</v>
      </c>
      <c r="S58" s="2"/>
      <c r="T58" s="7"/>
      <c r="U58" s="2"/>
      <c r="V58" s="8">
        <f t="shared" si="59"/>
        <v>0</v>
      </c>
      <c r="W58" s="2"/>
      <c r="X58" s="7">
        <f t="shared" si="60"/>
        <v>369.62</v>
      </c>
      <c r="Y58" s="2"/>
      <c r="Z58" s="8">
        <f t="shared" si="61"/>
        <v>0</v>
      </c>
    </row>
    <row r="59" spans="1:26" s="24" customFormat="1" hidden="1" outlineLevel="2" x14ac:dyDescent="0.3">
      <c r="A59" s="27"/>
      <c r="B59" s="11" t="str">
        <f>CONCATENATE("          ", "6241", " - ", "OFFICE EXPENSE")</f>
        <v xml:space="preserve">          6241 - OFFICE EXPENSE</v>
      </c>
      <c r="C59" s="11"/>
      <c r="D59" s="7">
        <v>22.5</v>
      </c>
      <c r="E59" s="2"/>
      <c r="F59" s="8">
        <f t="shared" si="54"/>
        <v>3.4431098780526993E-3</v>
      </c>
      <c r="G59" s="2"/>
      <c r="H59" s="7"/>
      <c r="I59" s="2"/>
      <c r="J59" s="8">
        <f t="shared" si="55"/>
        <v>0</v>
      </c>
      <c r="K59" s="2"/>
      <c r="L59" s="7">
        <f t="shared" si="56"/>
        <v>22.5</v>
      </c>
      <c r="M59" s="2"/>
      <c r="N59" s="8">
        <f t="shared" si="57"/>
        <v>0</v>
      </c>
      <c r="O59" s="11"/>
      <c r="P59" s="7">
        <v>130.24</v>
      </c>
      <c r="Q59" s="2"/>
      <c r="R59" s="8">
        <f t="shared" si="58"/>
        <v>1.9930250245225937E-2</v>
      </c>
      <c r="S59" s="2"/>
      <c r="T59" s="7"/>
      <c r="U59" s="2"/>
      <c r="V59" s="8">
        <f t="shared" si="59"/>
        <v>0</v>
      </c>
      <c r="W59" s="2"/>
      <c r="X59" s="7">
        <f t="shared" si="60"/>
        <v>130.24</v>
      </c>
      <c r="Y59" s="2"/>
      <c r="Z59" s="8">
        <f t="shared" si="61"/>
        <v>0</v>
      </c>
    </row>
    <row r="60" spans="1:26" s="24" customFormat="1" hidden="1" outlineLevel="2" x14ac:dyDescent="0.3">
      <c r="A60" s="27"/>
      <c r="B60" s="11" t="str">
        <f>CONCATENATE("          ", "6247", " - ", "STORE SUPPLIES")</f>
        <v xml:space="preserve">          6247 - STORE SUPPLIES</v>
      </c>
      <c r="C60" s="11"/>
      <c r="D60" s="7">
        <v>300</v>
      </c>
      <c r="E60" s="2"/>
      <c r="F60" s="8">
        <f t="shared" si="54"/>
        <v>4.5908131707369328E-2</v>
      </c>
      <c r="G60" s="2"/>
      <c r="H60" s="7"/>
      <c r="I60" s="2"/>
      <c r="J60" s="8">
        <f t="shared" si="55"/>
        <v>0</v>
      </c>
      <c r="K60" s="2"/>
      <c r="L60" s="7">
        <f t="shared" si="56"/>
        <v>300</v>
      </c>
      <c r="M60" s="2"/>
      <c r="N60" s="8">
        <f t="shared" si="57"/>
        <v>0</v>
      </c>
      <c r="O60" s="11"/>
      <c r="P60" s="7">
        <v>300</v>
      </c>
      <c r="Q60" s="2"/>
      <c r="R60" s="8">
        <f t="shared" si="58"/>
        <v>4.5908131707369328E-2</v>
      </c>
      <c r="S60" s="2"/>
      <c r="T60" s="7"/>
      <c r="U60" s="2"/>
      <c r="V60" s="8">
        <f t="shared" si="59"/>
        <v>0</v>
      </c>
      <c r="W60" s="2"/>
      <c r="X60" s="7">
        <f t="shared" si="60"/>
        <v>300</v>
      </c>
      <c r="Y60" s="2"/>
      <c r="Z60" s="8">
        <f t="shared" si="61"/>
        <v>0</v>
      </c>
    </row>
    <row r="61" spans="1:26" s="28" customFormat="1" outlineLevel="1" collapsed="1" x14ac:dyDescent="0.3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SUM(OSRRefD22_12x_0)</f>
        <v>22</v>
      </c>
      <c r="E61" s="1"/>
      <c r="F61" s="5">
        <f t="shared" ref="F61:F64" si="62">IF(D$12=0,0,D61/D$12)</f>
        <v>3.3665963252070838E-3</v>
      </c>
      <c r="G61" s="1"/>
      <c r="H61" s="1">
        <f>SUM(OSRRefH22_12x_0)</f>
        <v>38</v>
      </c>
      <c r="I61" s="1"/>
      <c r="J61" s="5">
        <f t="shared" ref="J61:J64" si="63">IF(H$12=0,0,H61/H$12)</f>
        <v>0</v>
      </c>
      <c r="K61" s="1"/>
      <c r="L61" s="1">
        <f t="shared" ref="L61:L64" si="64">+D61-H61</f>
        <v>-16</v>
      </c>
      <c r="M61" s="1"/>
      <c r="N61" s="5">
        <f t="shared" ref="N61:N64" si="65">IF(H61=0,0,L61/H61)</f>
        <v>-0.42105263157894735</v>
      </c>
      <c r="O61" s="14"/>
      <c r="P61" s="1">
        <f>SUM(OSRRefP22_12x_0)</f>
        <v>129</v>
      </c>
      <c r="Q61" s="1"/>
      <c r="R61" s="5">
        <f t="shared" ref="R61:R64" si="66">IF(P$12=0,0,P61/P$12)</f>
        <v>1.9740496634168811E-2</v>
      </c>
      <c r="S61" s="1"/>
      <c r="T61" s="1">
        <f>SUM(OSRRefT22_12x_0)</f>
        <v>76</v>
      </c>
      <c r="U61" s="1"/>
      <c r="V61" s="5">
        <f t="shared" ref="V61:V64" si="67">IF(T$12=0,0,T61/T$12)</f>
        <v>0</v>
      </c>
      <c r="W61" s="1"/>
      <c r="X61" s="1">
        <f t="shared" ref="X61:X64" si="68">+P61-T61</f>
        <v>53</v>
      </c>
      <c r="Y61" s="1"/>
      <c r="Z61" s="5">
        <f t="shared" ref="Z61:Z64" si="69">IF(T61=0,0,X61/T61)</f>
        <v>0.69736842105263153</v>
      </c>
    </row>
    <row r="62" spans="1:26" s="24" customFormat="1" hidden="1" outlineLevel="2" x14ac:dyDescent="0.3">
      <c r="A62" s="27"/>
      <c r="B62" s="11" t="str">
        <f>CONCATENATE("          ", "6309", " - ", "TELEPHONE")</f>
        <v xml:space="preserve">          6309 - TELEPHONE</v>
      </c>
      <c r="C62" s="11"/>
      <c r="D62" s="7">
        <v>22</v>
      </c>
      <c r="E62" s="2"/>
      <c r="F62" s="8">
        <f t="shared" si="62"/>
        <v>3.3665963252070838E-3</v>
      </c>
      <c r="G62" s="2"/>
      <c r="H62" s="7">
        <v>38</v>
      </c>
      <c r="I62" s="2"/>
      <c r="J62" s="8">
        <f t="shared" si="63"/>
        <v>0</v>
      </c>
      <c r="K62" s="2"/>
      <c r="L62" s="7">
        <f t="shared" si="64"/>
        <v>-16</v>
      </c>
      <c r="M62" s="2"/>
      <c r="N62" s="8">
        <f t="shared" si="65"/>
        <v>-0.42105263157894735</v>
      </c>
      <c r="O62" s="11"/>
      <c r="P62" s="7">
        <v>129</v>
      </c>
      <c r="Q62" s="2"/>
      <c r="R62" s="8">
        <f t="shared" si="66"/>
        <v>1.9740496634168811E-2</v>
      </c>
      <c r="S62" s="2"/>
      <c r="T62" s="7">
        <v>76</v>
      </c>
      <c r="U62" s="2"/>
      <c r="V62" s="8">
        <f t="shared" si="67"/>
        <v>0</v>
      </c>
      <c r="W62" s="2"/>
      <c r="X62" s="7">
        <f t="shared" si="68"/>
        <v>53</v>
      </c>
      <c r="Y62" s="2"/>
      <c r="Z62" s="8">
        <f t="shared" si="69"/>
        <v>0.69736842105263153</v>
      </c>
    </row>
    <row r="63" spans="1:26" s="28" customFormat="1" outlineLevel="1" collapsed="1" x14ac:dyDescent="0.3">
      <c r="A63" s="29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SUM(OSRRefD22_13x_0)</f>
        <v>100</v>
      </c>
      <c r="E63" s="1"/>
      <c r="F63" s="5">
        <f t="shared" si="62"/>
        <v>1.5302710569123109E-2</v>
      </c>
      <c r="G63" s="1"/>
      <c r="H63" s="1">
        <f>SUM(OSRRefH22_13x_0)</f>
        <v>0</v>
      </c>
      <c r="I63" s="1"/>
      <c r="J63" s="5">
        <f t="shared" si="63"/>
        <v>0</v>
      </c>
      <c r="K63" s="1"/>
      <c r="L63" s="1">
        <f t="shared" si="64"/>
        <v>100</v>
      </c>
      <c r="M63" s="1"/>
      <c r="N63" s="5">
        <f t="shared" si="65"/>
        <v>0</v>
      </c>
      <c r="O63" s="14"/>
      <c r="P63" s="1">
        <f>SUM(OSRRefP22_13x_0)</f>
        <v>200</v>
      </c>
      <c r="Q63" s="1"/>
      <c r="R63" s="5">
        <f t="shared" si="66"/>
        <v>3.0605421138246217E-2</v>
      </c>
      <c r="S63" s="1"/>
      <c r="T63" s="1">
        <f>SUM(OSRRefT22_13x_0)</f>
        <v>0</v>
      </c>
      <c r="U63" s="1"/>
      <c r="V63" s="5">
        <f t="shared" si="67"/>
        <v>0</v>
      </c>
      <c r="W63" s="1"/>
      <c r="X63" s="1">
        <f t="shared" si="68"/>
        <v>200</v>
      </c>
      <c r="Y63" s="1"/>
      <c r="Z63" s="5">
        <f t="shared" si="69"/>
        <v>0</v>
      </c>
    </row>
    <row r="64" spans="1:26" s="24" customFormat="1" hidden="1" outlineLevel="2" x14ac:dyDescent="0.3">
      <c r="A64" s="27"/>
      <c r="B64" s="11" t="str">
        <f>CONCATENATE("          ", "6274", " - ", "UTILITIES")</f>
        <v xml:space="preserve">          6274 - UTILITIES</v>
      </c>
      <c r="C64" s="11"/>
      <c r="D64" s="7">
        <v>100</v>
      </c>
      <c r="E64" s="2"/>
      <c r="F64" s="8">
        <f t="shared" si="62"/>
        <v>1.5302710569123109E-2</v>
      </c>
      <c r="G64" s="2"/>
      <c r="H64" s="7"/>
      <c r="I64" s="2"/>
      <c r="J64" s="8">
        <f t="shared" si="63"/>
        <v>0</v>
      </c>
      <c r="K64" s="2"/>
      <c r="L64" s="7">
        <f t="shared" si="64"/>
        <v>100</v>
      </c>
      <c r="M64" s="2"/>
      <c r="N64" s="8">
        <f t="shared" si="65"/>
        <v>0</v>
      </c>
      <c r="O64" s="11"/>
      <c r="P64" s="7">
        <v>200</v>
      </c>
      <c r="Q64" s="2"/>
      <c r="R64" s="8">
        <f t="shared" si="66"/>
        <v>3.0605421138246217E-2</v>
      </c>
      <c r="S64" s="2"/>
      <c r="T64" s="7"/>
      <c r="U64" s="2"/>
      <c r="V64" s="8">
        <f t="shared" si="67"/>
        <v>0</v>
      </c>
      <c r="W64" s="2"/>
      <c r="X64" s="7">
        <f t="shared" si="68"/>
        <v>200</v>
      </c>
      <c r="Y64" s="2"/>
      <c r="Z64" s="8">
        <f t="shared" si="69"/>
        <v>0</v>
      </c>
    </row>
    <row r="65" spans="1:26" s="61" customFormat="1" x14ac:dyDescent="0.3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3">
      <c r="A66" s="10"/>
      <c r="B66" s="26" t="s">
        <v>292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3">
      <c r="A67" s="9"/>
      <c r="B67" s="10"/>
      <c r="C67" s="10"/>
      <c r="D67" s="3"/>
      <c r="E67" s="3"/>
      <c r="F67" s="6"/>
      <c r="G67" s="3"/>
      <c r="H67" s="3"/>
      <c r="I67" s="3"/>
      <c r="J67" s="6"/>
      <c r="K67" s="3"/>
      <c r="L67" s="3"/>
      <c r="M67" s="3"/>
      <c r="N67" s="6"/>
      <c r="O67" s="10"/>
      <c r="P67" s="3"/>
      <c r="Q67" s="3"/>
      <c r="R67" s="6"/>
      <c r="S67" s="3"/>
      <c r="T67" s="3"/>
      <c r="U67" s="3"/>
      <c r="V67" s="6"/>
      <c r="W67" s="3"/>
      <c r="X67" s="3"/>
      <c r="Y67" s="3"/>
      <c r="Z67" s="6"/>
    </row>
    <row r="68" spans="1:26" s="23" customFormat="1" x14ac:dyDescent="0.3">
      <c r="A68" s="10"/>
      <c r="B68" s="25" t="s">
        <v>276</v>
      </c>
      <c r="C68" s="25"/>
      <c r="D68" s="20">
        <f>+D20-D22+D66</f>
        <v>-21493.170000000002</v>
      </c>
      <c r="E68" s="13"/>
      <c r="F68" s="22">
        <f>IF(D$12=0,0,D68/D$12)</f>
        <v>-3.2890375972295978</v>
      </c>
      <c r="G68" s="13"/>
      <c r="H68" s="20">
        <f>+H20-H22+H66</f>
        <v>-9297.77</v>
      </c>
      <c r="I68" s="13"/>
      <c r="J68" s="22">
        <f>IF(H$12=0,0,H68/H$12)</f>
        <v>0</v>
      </c>
      <c r="K68" s="15"/>
      <c r="L68" s="20">
        <f>+D68-H68</f>
        <v>-12195.400000000001</v>
      </c>
      <c r="M68" s="15"/>
      <c r="N68" s="22">
        <f>IF(H68=0,0,L68/H68)</f>
        <v>1.3116478467417456</v>
      </c>
      <c r="O68" s="26"/>
      <c r="P68" s="20">
        <f>+P20-P22+P66</f>
        <v>-31515.470000000005</v>
      </c>
      <c r="Q68" s="13"/>
      <c r="R68" s="22">
        <f>IF(P$12=0,0,P68/P$12)</f>
        <v>-4.8227211585988234</v>
      </c>
      <c r="S68" s="13"/>
      <c r="T68" s="20">
        <f>+T20-T22+T66</f>
        <v>-23734.17</v>
      </c>
      <c r="U68" s="13"/>
      <c r="V68" s="22">
        <f>IF(T$12=0,0,T68/T$12)</f>
        <v>0</v>
      </c>
      <c r="W68" s="15"/>
      <c r="X68" s="20">
        <f>+P68-T68</f>
        <v>-7781.3000000000065</v>
      </c>
      <c r="Y68" s="15"/>
      <c r="Z68" s="22">
        <f>IF(T68=0,0,X68/T68)</f>
        <v>0.32785220633373768</v>
      </c>
    </row>
    <row r="69" spans="1:26" x14ac:dyDescent="0.3">
      <c r="A69" s="9"/>
      <c r="B69" s="10"/>
      <c r="C69" s="9"/>
      <c r="D69" s="3"/>
      <c r="E69" s="3"/>
      <c r="F69" s="6"/>
      <c r="G69" s="3"/>
      <c r="H69" s="3"/>
      <c r="I69" s="3"/>
      <c r="J69" s="6"/>
      <c r="K69" s="3"/>
      <c r="L69" s="3"/>
      <c r="M69" s="3"/>
      <c r="N69" s="6"/>
      <c r="P69" s="3"/>
      <c r="Q69" s="3"/>
      <c r="R69" s="6"/>
      <c r="S69" s="3"/>
      <c r="T69" s="3"/>
      <c r="U69" s="3"/>
      <c r="V69" s="6"/>
      <c r="W69" s="3"/>
      <c r="X69" s="3"/>
      <c r="Y69" s="3"/>
      <c r="Z69" s="6"/>
    </row>
    <row r="70" spans="1:26" s="23" customFormat="1" x14ac:dyDescent="0.3">
      <c r="A70" s="51"/>
      <c r="B70" s="10" t="s">
        <v>127</v>
      </c>
      <c r="C70" s="10"/>
      <c r="D70" s="4">
        <v>976.51</v>
      </c>
      <c r="E70" s="4"/>
      <c r="F70" s="12">
        <f>IF(D$12=0,0,D70/D$12)</f>
        <v>0.14943249897854408</v>
      </c>
      <c r="G70" s="4"/>
      <c r="H70" s="4"/>
      <c r="I70" s="4"/>
      <c r="J70" s="12">
        <f>IF(H$12=0,0,H70/H$12)</f>
        <v>0</v>
      </c>
      <c r="K70" s="4"/>
      <c r="L70" s="4">
        <f>+D70-H70</f>
        <v>976.51</v>
      </c>
      <c r="M70" s="4"/>
      <c r="N70" s="12">
        <f>IF(H70=0,0,L70/H70)</f>
        <v>0</v>
      </c>
      <c r="O70" s="10"/>
      <c r="P70" s="4">
        <v>976.51</v>
      </c>
      <c r="Q70" s="4"/>
      <c r="R70" s="12">
        <f>IF(P$12=0,0,P70/P$12)</f>
        <v>0.14943249897854408</v>
      </c>
      <c r="S70" s="4"/>
      <c r="T70" s="4"/>
      <c r="U70" s="4"/>
      <c r="V70" s="12">
        <f>IF(T$12=0,0,T70/T$12)</f>
        <v>0</v>
      </c>
      <c r="W70" s="4"/>
      <c r="X70" s="4">
        <f>+P70-T70</f>
        <v>976.51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6"/>
      <c r="G71" s="3"/>
      <c r="H71" s="3"/>
      <c r="I71" s="3"/>
      <c r="J71" s="6"/>
      <c r="K71" s="3"/>
      <c r="L71" s="3"/>
      <c r="M71" s="3"/>
      <c r="N71" s="6"/>
      <c r="O71" s="10"/>
      <c r="P71" s="3"/>
      <c r="Q71" s="3"/>
      <c r="R71" s="6"/>
      <c r="S71" s="3"/>
      <c r="T71" s="3"/>
      <c r="U71" s="3"/>
      <c r="V71" s="6"/>
      <c r="W71" s="3"/>
      <c r="X71" s="3"/>
      <c r="Y71" s="3"/>
      <c r="Z71" s="6"/>
    </row>
    <row r="72" spans="1:26" s="23" customFormat="1" ht="15" thickBot="1" x14ac:dyDescent="0.35">
      <c r="A72" s="10"/>
      <c r="B72" s="25" t="s">
        <v>125</v>
      </c>
      <c r="C72" s="25"/>
      <c r="D72" s="33">
        <f>+D68-D70</f>
        <v>-22469.68</v>
      </c>
      <c r="E72" s="13"/>
      <c r="F72" s="36">
        <f>IF(D$12=0,0,D72/D$12)</f>
        <v>-3.4384700962081416</v>
      </c>
      <c r="G72" s="13"/>
      <c r="H72" s="33">
        <f>+H68-H70</f>
        <v>-9297.77</v>
      </c>
      <c r="I72" s="13"/>
      <c r="J72" s="36">
        <f>IF(H$12=0,0,H72/H$12)</f>
        <v>0</v>
      </c>
      <c r="K72" s="15"/>
      <c r="L72" s="33">
        <f>D72-H72</f>
        <v>-13171.91</v>
      </c>
      <c r="M72" s="15"/>
      <c r="N72" s="36">
        <f>IF(H72=0,0,L72/H72)</f>
        <v>1.4166741057264267</v>
      </c>
      <c r="O72" s="26"/>
      <c r="P72" s="33">
        <f>+P68-P70</f>
        <v>-32491.980000000003</v>
      </c>
      <c r="Q72" s="13"/>
      <c r="R72" s="36">
        <f>IF(P$12=0,0,P72/P$12)</f>
        <v>-4.9721536575773673</v>
      </c>
      <c r="S72" s="13"/>
      <c r="T72" s="33">
        <f>+T68-T70</f>
        <v>-23734.17</v>
      </c>
      <c r="U72" s="13"/>
      <c r="V72" s="36">
        <f>IF(T$12=0,0,T72/T$12)</f>
        <v>0</v>
      </c>
      <c r="W72" s="15"/>
      <c r="X72" s="33">
        <f>P72-T72</f>
        <v>-8757.8100000000049</v>
      </c>
      <c r="Y72" s="15"/>
      <c r="Z72" s="36">
        <f>IF(T72=0,0,X72/T72)</f>
        <v>0.36899584017473563</v>
      </c>
    </row>
    <row r="73" spans="1:26" ht="15" thickTop="1" x14ac:dyDescent="0.3">
      <c r="A73" s="9"/>
      <c r="B73" s="9"/>
      <c r="C73" s="9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x14ac:dyDescent="0.3">
      <c r="A74" s="9"/>
      <c r="B74" s="9"/>
      <c r="C74" s="9"/>
      <c r="D74" s="3"/>
      <c r="E74" s="3"/>
      <c r="F74" s="6"/>
      <c r="G74" s="3"/>
      <c r="H74" s="3"/>
      <c r="I74" s="3"/>
      <c r="J74" s="6"/>
      <c r="K74" s="3"/>
      <c r="L74" s="3"/>
      <c r="M74" s="3"/>
      <c r="N74" s="6"/>
      <c r="P74" s="3"/>
      <c r="Q74" s="3"/>
      <c r="R74" s="6"/>
      <c r="S74" s="3"/>
      <c r="T74" s="3"/>
      <c r="U74" s="3"/>
      <c r="V74" s="6"/>
      <c r="W74" s="3"/>
      <c r="X74" s="3"/>
      <c r="Y74" s="3"/>
      <c r="Z74" s="6"/>
    </row>
    <row r="75" spans="1:26" s="23" customFormat="1" ht="15" thickBot="1" x14ac:dyDescent="0.35">
      <c r="A75" s="10"/>
      <c r="B75" s="25" t="s">
        <v>293</v>
      </c>
      <c r="C75" s="25"/>
      <c r="D75" s="30">
        <f>SUM(D72:D74)</f>
        <v>-22469.68</v>
      </c>
      <c r="E75" s="13"/>
      <c r="F75" s="31">
        <f>IF(D$12=0,0,D75/D$12)</f>
        <v>-3.4384700962081416</v>
      </c>
      <c r="G75" s="13"/>
      <c r="H75" s="30">
        <f>SUM(H72:H74)</f>
        <v>-9297.77</v>
      </c>
      <c r="I75" s="13"/>
      <c r="J75" s="31">
        <f>IF(H$12=0,0,H75/H$12)</f>
        <v>0</v>
      </c>
      <c r="K75" s="15"/>
      <c r="L75" s="30">
        <f>+D75-H75</f>
        <v>-13171.91</v>
      </c>
      <c r="M75" s="15"/>
      <c r="N75" s="31">
        <f>IF(H75=0,0,L75/H75)</f>
        <v>1.4166741057264267</v>
      </c>
      <c r="O75" s="26"/>
      <c r="P75" s="30">
        <f>SUM(P72:P74)</f>
        <v>-32491.980000000003</v>
      </c>
      <c r="Q75" s="13"/>
      <c r="R75" s="31">
        <f>IF(P$12=0,0,P75/P$12)</f>
        <v>-4.9721536575773673</v>
      </c>
      <c r="S75" s="13"/>
      <c r="T75" s="30">
        <f>SUM(T72:T74)</f>
        <v>-23734.17</v>
      </c>
      <c r="U75" s="13"/>
      <c r="V75" s="31">
        <f>IF(T$12=0,0,T75/T$12)</f>
        <v>0</v>
      </c>
      <c r="W75" s="15"/>
      <c r="X75" s="30">
        <f>+P75-T75</f>
        <v>-8757.8100000000049</v>
      </c>
      <c r="Y75" s="15"/>
      <c r="Z75" s="31">
        <f>IF(T75=0,0,X75/T75)</f>
        <v>0.36899584017473563</v>
      </c>
    </row>
    <row r="76" spans="1:26" ht="15" thickTop="1" x14ac:dyDescent="0.3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59">
        <v>44470.840542939812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A78" s="9"/>
      <c r="B78" s="58" t="s">
        <v>56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3">
      <c r="A79" s="9"/>
      <c r="B79" s="52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3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130.35</v>
      </c>
      <c r="E12" s="4"/>
      <c r="F12" s="12"/>
      <c r="G12" s="4"/>
      <c r="H12" s="4">
        <f>SUM(OSRRefH13x_0)</f>
        <v>110</v>
      </c>
      <c r="I12" s="4"/>
      <c r="J12" s="12"/>
      <c r="K12" s="4"/>
      <c r="L12" s="4">
        <f t="shared" ref="L12:L13" si="0">+D12-H12</f>
        <v>20.349999999999994</v>
      </c>
      <c r="M12" s="4"/>
      <c r="N12" s="12">
        <f t="shared" ref="N12:N13" si="1">IF(H12=0,0,L12/H12)</f>
        <v>0.18499999999999994</v>
      </c>
      <c r="O12" s="10"/>
      <c r="P12" s="4">
        <f>SUM(OSRRefP13x_0)</f>
        <v>130.35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3" si="2">+P12-T12</f>
        <v>20.349999999999994</v>
      </c>
      <c r="Y12" s="4"/>
      <c r="Z12" s="12">
        <f t="shared" ref="Z12:Z13" si="3">IF(T12=0,0,X12/T12)</f>
        <v>0.18499999999999994</v>
      </c>
    </row>
    <row r="13" spans="1:26" s="24" customFormat="1" hidden="1" outlineLevel="1" x14ac:dyDescent="0.3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--130.35</f>
        <v>130.35</v>
      </c>
      <c r="E13" s="2"/>
      <c r="F13" s="19"/>
      <c r="G13" s="2"/>
      <c r="H13" s="2">
        <f>--110</f>
        <v>110</v>
      </c>
      <c r="I13" s="2"/>
      <c r="J13" s="19"/>
      <c r="K13" s="2"/>
      <c r="L13" s="2">
        <f t="shared" si="0"/>
        <v>20.349999999999994</v>
      </c>
      <c r="M13" s="2"/>
      <c r="N13" s="19">
        <f t="shared" si="1"/>
        <v>0.18499999999999994</v>
      </c>
      <c r="O13" s="11"/>
      <c r="P13" s="2">
        <f>--130.35</f>
        <v>130.35</v>
      </c>
      <c r="Q13" s="2"/>
      <c r="R13" s="19"/>
      <c r="S13" s="2"/>
      <c r="T13" s="2">
        <f>--110</f>
        <v>110</v>
      </c>
      <c r="U13" s="2"/>
      <c r="V13" s="19"/>
      <c r="W13" s="2"/>
      <c r="X13" s="2">
        <f t="shared" si="2"/>
        <v>20.349999999999994</v>
      </c>
      <c r="Y13" s="2"/>
      <c r="Z13" s="19">
        <f t="shared" si="3"/>
        <v>0.18499999999999994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>
        <f>SUM(OSRRefD16x_0)</f>
        <v>45</v>
      </c>
      <c r="E15" s="4"/>
      <c r="F15" s="12">
        <f t="shared" ref="F15:F17" si="4">IF(D$12=0,0,D15/D$12)</f>
        <v>0.34522439585730724</v>
      </c>
      <c r="G15" s="4"/>
      <c r="H15" s="4">
        <f>SUM(OSRRefH16x_0)</f>
        <v>68.91</v>
      </c>
      <c r="I15" s="4"/>
      <c r="J15" s="12">
        <f t="shared" ref="J15:J17" si="5">IF(H$12=0,0,H15/H$12)</f>
        <v>0.62645454545454538</v>
      </c>
      <c r="K15" s="4"/>
      <c r="L15" s="4">
        <f t="shared" ref="L15:L17" si="6">+D15-H15</f>
        <v>-23.909999999999997</v>
      </c>
      <c r="M15" s="4"/>
      <c r="N15" s="12">
        <f t="shared" ref="N15:N17" si="7">IF(H15=0,0,L15/H15)</f>
        <v>-0.34697431432303</v>
      </c>
      <c r="O15" s="10"/>
      <c r="P15" s="4">
        <f>SUM(OSRRefP16x_0)</f>
        <v>45</v>
      </c>
      <c r="Q15" s="4"/>
      <c r="R15" s="12">
        <f t="shared" ref="R15:R17" si="8">IF(P$12=0,0,P15/P$12)</f>
        <v>0.34522439585730724</v>
      </c>
      <c r="S15" s="4"/>
      <c r="T15" s="4">
        <f>SUM(OSRRefT16x_0)</f>
        <v>68.91</v>
      </c>
      <c r="U15" s="4"/>
      <c r="V15" s="12">
        <f t="shared" ref="V15:V17" si="9">IF(T$12=0,0,T15/T$12)</f>
        <v>0.62645454545454538</v>
      </c>
      <c r="W15" s="4"/>
      <c r="X15" s="4">
        <f t="shared" ref="X15:X17" si="10">+P15-T15</f>
        <v>-23.909999999999997</v>
      </c>
      <c r="Y15" s="4"/>
      <c r="Z15" s="12">
        <f t="shared" ref="Z15:Z17" si="11">IF(T15=0,0,X15/T15)</f>
        <v>-0.34697431432303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45</v>
      </c>
      <c r="E16" s="2"/>
      <c r="F16" s="19">
        <f t="shared" si="4"/>
        <v>0.34522439585730724</v>
      </c>
      <c r="G16" s="2"/>
      <c r="H16" s="2"/>
      <c r="I16" s="2"/>
      <c r="J16" s="19">
        <f t="shared" si="5"/>
        <v>0</v>
      </c>
      <c r="K16" s="2"/>
      <c r="L16" s="2">
        <f t="shared" si="6"/>
        <v>45</v>
      </c>
      <c r="M16" s="2"/>
      <c r="N16" s="19">
        <f t="shared" si="7"/>
        <v>0</v>
      </c>
      <c r="O16" s="11"/>
      <c r="P16" s="2">
        <v>45</v>
      </c>
      <c r="Q16" s="2"/>
      <c r="R16" s="19">
        <f t="shared" si="8"/>
        <v>0.34522439585730724</v>
      </c>
      <c r="S16" s="2"/>
      <c r="T16" s="2"/>
      <c r="U16" s="2"/>
      <c r="V16" s="19">
        <f t="shared" si="9"/>
        <v>0</v>
      </c>
      <c r="W16" s="2"/>
      <c r="X16" s="2">
        <f t="shared" si="10"/>
        <v>45</v>
      </c>
      <c r="Y16" s="2"/>
      <c r="Z16" s="19">
        <f t="shared" si="11"/>
        <v>0</v>
      </c>
    </row>
    <row r="17" spans="1:26" s="24" customFormat="1" hidden="1" outlineLevel="1" x14ac:dyDescent="0.3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>
        <v>68.91</v>
      </c>
      <c r="I17" s="2"/>
      <c r="J17" s="19">
        <f t="shared" si="5"/>
        <v>0.62645454545454538</v>
      </c>
      <c r="K17" s="2"/>
      <c r="L17" s="2">
        <f t="shared" si="6"/>
        <v>-68.91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68.91</v>
      </c>
      <c r="U17" s="2"/>
      <c r="V17" s="19">
        <f t="shared" si="9"/>
        <v>0.62645454545454538</v>
      </c>
      <c r="W17" s="2"/>
      <c r="X17" s="2">
        <f t="shared" si="10"/>
        <v>-68.91</v>
      </c>
      <c r="Y17" s="2"/>
      <c r="Z17" s="19">
        <f t="shared" si="11"/>
        <v>-1</v>
      </c>
    </row>
    <row r="18" spans="1:26" x14ac:dyDescent="0.3">
      <c r="A18" s="9"/>
      <c r="B18" s="10"/>
      <c r="C18" s="10"/>
      <c r="D18" s="3"/>
      <c r="E18" s="3"/>
      <c r="F18" s="6"/>
      <c r="G18" s="3"/>
      <c r="H18" s="3"/>
      <c r="I18" s="3"/>
      <c r="J18" s="6"/>
      <c r="K18" s="3"/>
      <c r="L18" s="3"/>
      <c r="M18" s="3"/>
      <c r="N18" s="6"/>
      <c r="O18" s="10"/>
      <c r="P18" s="3"/>
      <c r="Q18" s="3"/>
      <c r="R18" s="6"/>
      <c r="S18" s="3"/>
      <c r="T18" s="3"/>
      <c r="U18" s="3"/>
      <c r="V18" s="6"/>
      <c r="W18" s="3"/>
      <c r="X18" s="3"/>
      <c r="Y18" s="3"/>
      <c r="Z18" s="6"/>
    </row>
    <row r="19" spans="1:26" s="23" customFormat="1" x14ac:dyDescent="0.3">
      <c r="A19" s="10"/>
      <c r="B19" s="25" t="s">
        <v>107</v>
      </c>
      <c r="C19" s="25"/>
      <c r="D19" s="20">
        <f>D12-D15</f>
        <v>85.35</v>
      </c>
      <c r="E19" s="13"/>
      <c r="F19" s="22">
        <f>IF(D$12=0,0,D19/D$12)</f>
        <v>0.65477560414269276</v>
      </c>
      <c r="G19" s="13"/>
      <c r="H19" s="20">
        <f>H12-H15</f>
        <v>41.09</v>
      </c>
      <c r="I19" s="13"/>
      <c r="J19" s="22">
        <f>IF(H$12=0,0,H19/H$12)</f>
        <v>0.37354545454545457</v>
      </c>
      <c r="K19" s="15"/>
      <c r="L19" s="20">
        <f>+D19-H19</f>
        <v>44.259999999999991</v>
      </c>
      <c r="M19" s="15"/>
      <c r="N19" s="22">
        <f>IF(H19=0,0,L19/H19)</f>
        <v>1.077147724507179</v>
      </c>
      <c r="O19" s="26"/>
      <c r="P19" s="20">
        <f>P12-P15</f>
        <v>85.35</v>
      </c>
      <c r="Q19" s="13"/>
      <c r="R19" s="22">
        <f>IF(P$12=0,0,P19/P$12)</f>
        <v>0.65477560414269276</v>
      </c>
      <c r="S19" s="13"/>
      <c r="T19" s="20">
        <f>T12-T15</f>
        <v>41.09</v>
      </c>
      <c r="U19" s="13"/>
      <c r="V19" s="22">
        <f>IF(T$12=0,0,T19/T$12)</f>
        <v>0.37354545454545457</v>
      </c>
      <c r="W19" s="15"/>
      <c r="X19" s="20">
        <f>+P19-T19</f>
        <v>44.259999999999991</v>
      </c>
      <c r="Y19" s="15"/>
      <c r="Z19" s="22">
        <f>IF(T19=0,0,X19/T19)</f>
        <v>1.077147724507179</v>
      </c>
    </row>
    <row r="20" spans="1:26" x14ac:dyDescent="0.3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3">
      <c r="A21" s="10"/>
      <c r="B21" s="26" t="s">
        <v>294</v>
      </c>
      <c r="C21" s="10"/>
      <c r="D21" s="21">
        <f>SUM(0)</f>
        <v>0</v>
      </c>
      <c r="E21" s="21"/>
      <c r="F21" s="32">
        <f>IF(D$12=0,0,D21/D$12)</f>
        <v>0</v>
      </c>
      <c r="G21" s="21"/>
      <c r="H21" s="21">
        <f>SUM(0)</f>
        <v>0</v>
      </c>
      <c r="I21" s="21"/>
      <c r="J21" s="32">
        <f>IF(H$12=0,0,H21/H$12)</f>
        <v>0</v>
      </c>
      <c r="K21" s="4"/>
      <c r="L21" s="21">
        <f>+D21-H21</f>
        <v>0</v>
      </c>
      <c r="M21" s="4"/>
      <c r="N21" s="32">
        <f>IF(H21=0,0,L21/H21)</f>
        <v>0</v>
      </c>
      <c r="O21" s="10"/>
      <c r="P21" s="21">
        <f>SUM(0)</f>
        <v>0</v>
      </c>
      <c r="Q21" s="21"/>
      <c r="R21" s="32">
        <f>IF(P$12=0,0,P21/P$12)</f>
        <v>0</v>
      </c>
      <c r="S21" s="21"/>
      <c r="T21" s="21">
        <f>SUM(0)</f>
        <v>0</v>
      </c>
      <c r="U21" s="21"/>
      <c r="V21" s="32">
        <f>IF(T$12=0,0,T21/T$12)</f>
        <v>0</v>
      </c>
      <c r="W21" s="4"/>
      <c r="X21" s="21">
        <f>+P21-T21</f>
        <v>0</v>
      </c>
      <c r="Y21" s="4"/>
      <c r="Z21" s="32">
        <f>IF(T21=0,0,X21/T21)</f>
        <v>0</v>
      </c>
    </row>
    <row r="22" spans="1:26" s="61" customFormat="1" x14ac:dyDescent="0.3">
      <c r="A22" s="37"/>
      <c r="B22" s="37"/>
      <c r="C22" s="37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292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6"/>
      <c r="G24" s="3"/>
      <c r="H24" s="3"/>
      <c r="I24" s="3"/>
      <c r="J24" s="6"/>
      <c r="K24" s="3"/>
      <c r="L24" s="3"/>
      <c r="M24" s="3"/>
      <c r="N24" s="6"/>
      <c r="O24" s="10"/>
      <c r="P24" s="3"/>
      <c r="Q24" s="3"/>
      <c r="R24" s="6"/>
      <c r="S24" s="3"/>
      <c r="T24" s="3"/>
      <c r="U24" s="3"/>
      <c r="V24" s="6"/>
      <c r="W24" s="3"/>
      <c r="X24" s="3"/>
      <c r="Y24" s="3"/>
      <c r="Z24" s="6"/>
    </row>
    <row r="25" spans="1:26" s="23" customFormat="1" x14ac:dyDescent="0.3">
      <c r="A25" s="10"/>
      <c r="B25" s="25" t="s">
        <v>276</v>
      </c>
      <c r="C25" s="25"/>
      <c r="D25" s="20">
        <f>+D19-D21+D23</f>
        <v>85.35</v>
      </c>
      <c r="E25" s="13"/>
      <c r="F25" s="22">
        <f>IF(D$12=0,0,D25/D$12)</f>
        <v>0.65477560414269276</v>
      </c>
      <c r="G25" s="13"/>
      <c r="H25" s="20">
        <f>+H19-H21+H23</f>
        <v>41.09</v>
      </c>
      <c r="I25" s="13"/>
      <c r="J25" s="22">
        <f>IF(H$12=0,0,H25/H$12)</f>
        <v>0.37354545454545457</v>
      </c>
      <c r="K25" s="15"/>
      <c r="L25" s="20">
        <f>+D25-H25</f>
        <v>44.259999999999991</v>
      </c>
      <c r="M25" s="15"/>
      <c r="N25" s="22">
        <f>IF(H25=0,0,L25/H25)</f>
        <v>1.077147724507179</v>
      </c>
      <c r="O25" s="26"/>
      <c r="P25" s="20">
        <f>+P19-P21+P23</f>
        <v>85.35</v>
      </c>
      <c r="Q25" s="13"/>
      <c r="R25" s="22">
        <f>IF(P$12=0,0,P25/P$12)</f>
        <v>0.65477560414269276</v>
      </c>
      <c r="S25" s="13"/>
      <c r="T25" s="20">
        <f>+T19-T21+T23</f>
        <v>41.09</v>
      </c>
      <c r="U25" s="13"/>
      <c r="V25" s="22">
        <f>IF(T$12=0,0,T25/T$12)</f>
        <v>0.37354545454545457</v>
      </c>
      <c r="W25" s="15"/>
      <c r="X25" s="20">
        <f>+P25-T25</f>
        <v>44.259999999999991</v>
      </c>
      <c r="Y25" s="15"/>
      <c r="Z25" s="22">
        <f>IF(T25=0,0,X25/T25)</f>
        <v>1.077147724507179</v>
      </c>
    </row>
    <row r="26" spans="1:26" x14ac:dyDescent="0.3">
      <c r="A26" s="9"/>
      <c r="B26" s="10"/>
      <c r="C26" s="9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51"/>
      <c r="B27" s="10" t="s">
        <v>127</v>
      </c>
      <c r="C27" s="10"/>
      <c r="D27" s="4">
        <v>19.48</v>
      </c>
      <c r="E27" s="4"/>
      <c r="F27" s="12">
        <f>IF(D$12=0,0,D27/D$12)</f>
        <v>0.14944380514000769</v>
      </c>
      <c r="G27" s="4"/>
      <c r="H27" s="4">
        <v>18.57</v>
      </c>
      <c r="I27" s="4"/>
      <c r="J27" s="12">
        <f>IF(H$12=0,0,H27/H$12)</f>
        <v>0.16881818181818181</v>
      </c>
      <c r="K27" s="4"/>
      <c r="L27" s="4">
        <f>+D27-H27</f>
        <v>0.91000000000000014</v>
      </c>
      <c r="M27" s="4"/>
      <c r="N27" s="12">
        <f>IF(H27=0,0,L27/H27)</f>
        <v>4.900376952073237E-2</v>
      </c>
      <c r="O27" s="10"/>
      <c r="P27" s="4">
        <v>19.48</v>
      </c>
      <c r="Q27" s="4"/>
      <c r="R27" s="12">
        <f>IF(P$12=0,0,P27/P$12)</f>
        <v>0.14944380514000769</v>
      </c>
      <c r="S27" s="4"/>
      <c r="T27" s="4">
        <v>18.57</v>
      </c>
      <c r="U27" s="4"/>
      <c r="V27" s="12">
        <f>IF(T$12=0,0,T27/T$12)</f>
        <v>0.16881818181818181</v>
      </c>
      <c r="W27" s="4"/>
      <c r="X27" s="4">
        <f>+P27-T27</f>
        <v>0.91000000000000014</v>
      </c>
      <c r="Y27" s="4"/>
      <c r="Z27" s="12">
        <f>IF(T27=0,0,X27/T27)</f>
        <v>4.900376952073237E-2</v>
      </c>
    </row>
    <row r="28" spans="1:26" x14ac:dyDescent="0.3">
      <c r="A28" s="9"/>
      <c r="B28" s="10"/>
      <c r="C28" s="10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O28" s="10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ht="15" thickBot="1" x14ac:dyDescent="0.35">
      <c r="A29" s="10"/>
      <c r="B29" s="25" t="s">
        <v>125</v>
      </c>
      <c r="C29" s="25"/>
      <c r="D29" s="33">
        <f>+D25-D27</f>
        <v>65.86999999999999</v>
      </c>
      <c r="E29" s="13"/>
      <c r="F29" s="36">
        <f>IF(D$12=0,0,D29/D$12)</f>
        <v>0.50533179900268499</v>
      </c>
      <c r="G29" s="13"/>
      <c r="H29" s="33">
        <f>+H25-H27</f>
        <v>22.520000000000003</v>
      </c>
      <c r="I29" s="13"/>
      <c r="J29" s="36">
        <f>IF(H$12=0,0,H29/H$12)</f>
        <v>0.20472727272727276</v>
      </c>
      <c r="K29" s="15"/>
      <c r="L29" s="33">
        <f>D29-H29</f>
        <v>43.349999999999987</v>
      </c>
      <c r="M29" s="15"/>
      <c r="N29" s="36">
        <f>IF(H29=0,0,L29/H29)</f>
        <v>1.9249555950266422</v>
      </c>
      <c r="O29" s="26"/>
      <c r="P29" s="33">
        <f>+P25-P27</f>
        <v>65.86999999999999</v>
      </c>
      <c r="Q29" s="13"/>
      <c r="R29" s="36">
        <f>IF(P$12=0,0,P29/P$12)</f>
        <v>0.50533179900268499</v>
      </c>
      <c r="S29" s="13"/>
      <c r="T29" s="33">
        <f>+T25-T27</f>
        <v>22.520000000000003</v>
      </c>
      <c r="U29" s="13"/>
      <c r="V29" s="36">
        <f>IF(T$12=0,0,T29/T$12)</f>
        <v>0.20472727272727276</v>
      </c>
      <c r="W29" s="15"/>
      <c r="X29" s="33">
        <f>P29-T29</f>
        <v>43.349999999999987</v>
      </c>
      <c r="Y29" s="15"/>
      <c r="Z29" s="36">
        <f>IF(T29=0,0,X29/T29)</f>
        <v>1.9249555950266422</v>
      </c>
    </row>
    <row r="30" spans="1:26" ht="15" thickTop="1" x14ac:dyDescent="0.3">
      <c r="A30" s="9"/>
      <c r="B30" s="9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x14ac:dyDescent="0.3">
      <c r="A31" s="9"/>
      <c r="B31" s="9"/>
      <c r="C31" s="9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ht="15" thickBot="1" x14ac:dyDescent="0.35">
      <c r="A32" s="10"/>
      <c r="B32" s="25" t="s">
        <v>293</v>
      </c>
      <c r="C32" s="25"/>
      <c r="D32" s="30">
        <f>SUM(D29:D31)</f>
        <v>65.86999999999999</v>
      </c>
      <c r="E32" s="13"/>
      <c r="F32" s="31">
        <f>IF(D$12=0,0,D32/D$12)</f>
        <v>0.50533179900268499</v>
      </c>
      <c r="G32" s="13"/>
      <c r="H32" s="30">
        <f>SUM(H29:H31)</f>
        <v>22.520000000000003</v>
      </c>
      <c r="I32" s="13"/>
      <c r="J32" s="31">
        <f>IF(H$12=0,0,H32/H$12)</f>
        <v>0.20472727272727276</v>
      </c>
      <c r="K32" s="15"/>
      <c r="L32" s="30">
        <f>+D32-H32</f>
        <v>43.349999999999987</v>
      </c>
      <c r="M32" s="15"/>
      <c r="N32" s="31">
        <f>IF(H32=0,0,L32/H32)</f>
        <v>1.9249555950266422</v>
      </c>
      <c r="O32" s="26"/>
      <c r="P32" s="30">
        <f>SUM(P29:P31)</f>
        <v>65.86999999999999</v>
      </c>
      <c r="Q32" s="13"/>
      <c r="R32" s="31">
        <f>IF(P$12=0,0,P32/P$12)</f>
        <v>0.50533179900268499</v>
      </c>
      <c r="S32" s="13"/>
      <c r="T32" s="30">
        <f>SUM(T29:T31)</f>
        <v>22.520000000000003</v>
      </c>
      <c r="U32" s="13"/>
      <c r="V32" s="31">
        <f>IF(T$12=0,0,T32/T$12)</f>
        <v>0.20472727272727276</v>
      </c>
      <c r="W32" s="15"/>
      <c r="X32" s="30">
        <f>+P32-T32</f>
        <v>43.349999999999987</v>
      </c>
      <c r="Y32" s="15"/>
      <c r="Z32" s="31">
        <f>IF(T32=0,0,X32/T32)</f>
        <v>1.9249555950266422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9">
        <v>44470.840542939812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8" t="s">
        <v>56</v>
      </c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A36" s="9"/>
      <c r="B36" s="52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4" x14ac:dyDescent="0.3"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199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535502.98</v>
      </c>
      <c r="E12" s="4"/>
      <c r="F12" s="12"/>
      <c r="G12" s="4"/>
      <c r="H12" s="4">
        <f>SUM(OSRRefH13x_0)</f>
        <v>54547.020000000004</v>
      </c>
      <c r="I12" s="4"/>
      <c r="J12" s="12"/>
      <c r="K12" s="4"/>
      <c r="L12" s="4">
        <f t="shared" ref="L12:L17" si="0">+D12-H12</f>
        <v>480955.95999999996</v>
      </c>
      <c r="M12" s="4"/>
      <c r="N12" s="12">
        <f t="shared" ref="N12:N17" si="1">IF(H12=0,0,L12/H12)</f>
        <v>8.8172728776017451</v>
      </c>
      <c r="O12" s="10"/>
      <c r="P12" s="4">
        <f>SUM(OSRRefP13x_0)</f>
        <v>578192.64000000001</v>
      </c>
      <c r="Q12" s="4"/>
      <c r="R12" s="12"/>
      <c r="S12" s="4"/>
      <c r="T12" s="4">
        <f>SUM(OSRRefT13x_0)</f>
        <v>74849.850000000006</v>
      </c>
      <c r="U12" s="4"/>
      <c r="V12" s="12"/>
      <c r="W12" s="4"/>
      <c r="X12" s="4">
        <f t="shared" ref="X12:X17" si="2">+P12-T12</f>
        <v>503342.79000000004</v>
      </c>
      <c r="Y12" s="4"/>
      <c r="Z12" s="12">
        <f t="shared" ref="Z12:Z17" si="3">IF(T12=0,0,X12/T12)</f>
        <v>6.7247000494990976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--20639.51</f>
        <v>20639.509999999998</v>
      </c>
      <c r="E13" s="2"/>
      <c r="F13" s="19"/>
      <c r="G13" s="2"/>
      <c r="H13" s="2">
        <f>--2510.72</f>
        <v>2510.7199999999998</v>
      </c>
      <c r="I13" s="2"/>
      <c r="J13" s="19"/>
      <c r="K13" s="2"/>
      <c r="L13" s="2">
        <f t="shared" si="0"/>
        <v>18128.789999999997</v>
      </c>
      <c r="M13" s="2"/>
      <c r="N13" s="19">
        <f t="shared" si="1"/>
        <v>7.2205542633188884</v>
      </c>
      <c r="O13" s="11"/>
      <c r="P13" s="2">
        <f>--31270.44</f>
        <v>31270.44</v>
      </c>
      <c r="Q13" s="2"/>
      <c r="R13" s="19"/>
      <c r="S13" s="2"/>
      <c r="T13" s="2">
        <f>--2510.72</f>
        <v>2510.7199999999998</v>
      </c>
      <c r="U13" s="2"/>
      <c r="V13" s="19"/>
      <c r="W13" s="2"/>
      <c r="X13" s="2">
        <f t="shared" si="2"/>
        <v>28759.719999999998</v>
      </c>
      <c r="Y13" s="2"/>
      <c r="Z13" s="19">
        <f t="shared" si="3"/>
        <v>11.454769946469538</v>
      </c>
    </row>
    <row r="14" spans="1:26" s="24" customFormat="1" hidden="1" outlineLevel="1" x14ac:dyDescent="0.3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--384.19</f>
        <v>384.19</v>
      </c>
      <c r="E14" s="2"/>
      <c r="F14" s="19"/>
      <c r="G14" s="2"/>
      <c r="H14" s="2">
        <f>--140.01</f>
        <v>140.01</v>
      </c>
      <c r="I14" s="2"/>
      <c r="J14" s="19"/>
      <c r="K14" s="2"/>
      <c r="L14" s="2">
        <f t="shared" si="0"/>
        <v>244.18</v>
      </c>
      <c r="M14" s="2"/>
      <c r="N14" s="19">
        <f t="shared" si="1"/>
        <v>1.7440182844082568</v>
      </c>
      <c r="O14" s="11"/>
      <c r="P14" s="2">
        <f>--490.83</f>
        <v>490.83</v>
      </c>
      <c r="Q14" s="2"/>
      <c r="R14" s="19"/>
      <c r="S14" s="2"/>
      <c r="T14" s="2">
        <f>--339.9</f>
        <v>339.9</v>
      </c>
      <c r="U14" s="2"/>
      <c r="V14" s="19"/>
      <c r="W14" s="2"/>
      <c r="X14" s="2">
        <f t="shared" si="2"/>
        <v>150.93</v>
      </c>
      <c r="Y14" s="2"/>
      <c r="Z14" s="19">
        <f t="shared" si="3"/>
        <v>0.44404236540158876</v>
      </c>
    </row>
    <row r="15" spans="1:26" s="24" customFormat="1" hidden="1" outlineLevel="1" x14ac:dyDescent="0.3">
      <c r="A15" s="44"/>
      <c r="B15" s="11" t="str">
        <f>CONCATENATE("          ", "4058", " - ", "TAXABLE SALES-FOOD")</f>
        <v xml:space="preserve">          4058 - TAXABLE SALES-FOOD</v>
      </c>
      <c r="C15" s="11"/>
      <c r="D15" s="2">
        <f>0</f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f>--974.91</f>
        <v>974.91</v>
      </c>
      <c r="U15" s="2"/>
      <c r="V15" s="19"/>
      <c r="W15" s="2"/>
      <c r="X15" s="2">
        <f t="shared" si="2"/>
        <v>-974.91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--498691.97</f>
        <v>498691.97</v>
      </c>
      <c r="E16" s="2"/>
      <c r="F16" s="19"/>
      <c r="G16" s="2"/>
      <c r="H16" s="2">
        <f>--42758.9</f>
        <v>42758.9</v>
      </c>
      <c r="I16" s="2"/>
      <c r="J16" s="19"/>
      <c r="K16" s="2"/>
      <c r="L16" s="2">
        <f t="shared" si="0"/>
        <v>455933.06999999995</v>
      </c>
      <c r="M16" s="2"/>
      <c r="N16" s="19">
        <f t="shared" si="1"/>
        <v>10.662881177953594</v>
      </c>
      <c r="O16" s="11"/>
      <c r="P16" s="2">
        <f>--527363.35</f>
        <v>527363.35</v>
      </c>
      <c r="Q16" s="2"/>
      <c r="R16" s="19"/>
      <c r="S16" s="2"/>
      <c r="T16" s="2">
        <f>--44058.9</f>
        <v>44058.9</v>
      </c>
      <c r="U16" s="2"/>
      <c r="V16" s="19"/>
      <c r="W16" s="2"/>
      <c r="X16" s="2">
        <f t="shared" si="2"/>
        <v>483304.44999999995</v>
      </c>
      <c r="Y16" s="2"/>
      <c r="Z16" s="19">
        <f t="shared" si="3"/>
        <v>10.969507863337485</v>
      </c>
    </row>
    <row r="17" spans="1:26" s="24" customFormat="1" hidden="1" outlineLevel="1" x14ac:dyDescent="0.3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--15787.31</f>
        <v>15787.31</v>
      </c>
      <c r="E17" s="2"/>
      <c r="F17" s="19"/>
      <c r="G17" s="2"/>
      <c r="H17" s="2">
        <f>--9137.39</f>
        <v>9137.39</v>
      </c>
      <c r="I17" s="2"/>
      <c r="J17" s="19"/>
      <c r="K17" s="2"/>
      <c r="L17" s="2">
        <f t="shared" si="0"/>
        <v>6649.92</v>
      </c>
      <c r="M17" s="2"/>
      <c r="N17" s="19">
        <f t="shared" si="1"/>
        <v>0.72777018382711045</v>
      </c>
      <c r="O17" s="11"/>
      <c r="P17" s="2">
        <f>--19068.02</f>
        <v>19068.02</v>
      </c>
      <c r="Q17" s="2"/>
      <c r="R17" s="19"/>
      <c r="S17" s="2"/>
      <c r="T17" s="2">
        <f>--26965.42</f>
        <v>26965.42</v>
      </c>
      <c r="U17" s="2"/>
      <c r="V17" s="19"/>
      <c r="W17" s="2"/>
      <c r="X17" s="2">
        <f t="shared" si="2"/>
        <v>-7897.3999999999978</v>
      </c>
      <c r="Y17" s="2"/>
      <c r="Z17" s="19">
        <f t="shared" si="3"/>
        <v>-0.29287138861549339</v>
      </c>
    </row>
    <row r="18" spans="1:26" x14ac:dyDescent="0.3">
      <c r="A18" s="9"/>
      <c r="B18" s="10"/>
      <c r="C18" s="9"/>
      <c r="D18" s="3"/>
      <c r="E18" s="3"/>
      <c r="F18" s="6"/>
      <c r="G18" s="3"/>
      <c r="H18" s="3"/>
      <c r="I18" s="3"/>
      <c r="J18" s="6"/>
      <c r="K18" s="3"/>
      <c r="L18" s="3"/>
      <c r="M18" s="3"/>
      <c r="N18" s="6"/>
      <c r="P18" s="3"/>
      <c r="Q18" s="3"/>
      <c r="R18" s="6"/>
      <c r="S18" s="3"/>
      <c r="T18" s="3"/>
      <c r="U18" s="3"/>
      <c r="V18" s="6"/>
      <c r="W18" s="3"/>
      <c r="X18" s="3"/>
      <c r="Y18" s="3"/>
      <c r="Z18" s="6"/>
    </row>
    <row r="19" spans="1:26" s="23" customFormat="1" collapsed="1" x14ac:dyDescent="0.3">
      <c r="A19" s="10"/>
      <c r="B19" s="26" t="s">
        <v>256</v>
      </c>
      <c r="C19" s="10"/>
      <c r="D19" s="4">
        <f>SUM(OSRRefD16x_0)</f>
        <v>189344.45</v>
      </c>
      <c r="E19" s="4"/>
      <c r="F19" s="12">
        <f t="shared" ref="F19:F21" si="4">IF(D$12=0,0,D19/D$12)</f>
        <v>0.35358243944786266</v>
      </c>
      <c r="G19" s="4"/>
      <c r="H19" s="4">
        <f>SUM(OSRRefH16x_0)</f>
        <v>50318.539999999994</v>
      </c>
      <c r="I19" s="4"/>
      <c r="J19" s="12">
        <f t="shared" ref="J19:J21" si="5">IF(H$12=0,0,H19/H$12)</f>
        <v>0.92248009148804078</v>
      </c>
      <c r="K19" s="4"/>
      <c r="L19" s="4">
        <f t="shared" ref="L19:L21" si="6">+D19-H19</f>
        <v>139025.91000000003</v>
      </c>
      <c r="M19" s="4"/>
      <c r="N19" s="12">
        <f t="shared" ref="N19:N21" si="7">IF(H19=0,0,L19/H19)</f>
        <v>2.7629162133877503</v>
      </c>
      <c r="O19" s="10"/>
      <c r="P19" s="4">
        <f>SUM(OSRRefP16x_0)</f>
        <v>211532.66999999998</v>
      </c>
      <c r="Q19" s="4"/>
      <c r="R19" s="12">
        <f t="shared" ref="R19:R21" si="8">IF(P$12=0,0,P19/P$12)</f>
        <v>0.36585154387299013</v>
      </c>
      <c r="S19" s="4"/>
      <c r="T19" s="4">
        <f>SUM(OSRRefT16x_0)</f>
        <v>62008.160000000003</v>
      </c>
      <c r="U19" s="4"/>
      <c r="V19" s="12">
        <f t="shared" ref="V19:V21" si="9">IF(T$12=0,0,T19/T$12)</f>
        <v>0.82843399151768504</v>
      </c>
      <c r="W19" s="4"/>
      <c r="X19" s="4">
        <f t="shared" ref="X19:X21" si="10">+P19-T19</f>
        <v>149524.50999999998</v>
      </c>
      <c r="Y19" s="4"/>
      <c r="Z19" s="12">
        <f t="shared" ref="Z19:Z21" si="11">IF(T19=0,0,X19/T19)</f>
        <v>2.4113682779814782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256776.45</v>
      </c>
      <c r="E20" s="2"/>
      <c r="F20" s="19">
        <f t="shared" si="4"/>
        <v>0.47950517474244497</v>
      </c>
      <c r="G20" s="2"/>
      <c r="H20" s="2">
        <v>80529.539999999994</v>
      </c>
      <c r="I20" s="2"/>
      <c r="J20" s="19">
        <f t="shared" si="5"/>
        <v>1.47633252925641</v>
      </c>
      <c r="K20" s="2"/>
      <c r="L20" s="2">
        <f t="shared" si="6"/>
        <v>176246.91000000003</v>
      </c>
      <c r="M20" s="2"/>
      <c r="N20" s="19">
        <f t="shared" si="7"/>
        <v>2.1885994878401149</v>
      </c>
      <c r="O20" s="11"/>
      <c r="P20" s="2">
        <v>282969.67</v>
      </c>
      <c r="Q20" s="2"/>
      <c r="R20" s="19">
        <f t="shared" si="8"/>
        <v>0.48940379109633769</v>
      </c>
      <c r="S20" s="2"/>
      <c r="T20" s="2">
        <v>88810.16</v>
      </c>
      <c r="U20" s="2"/>
      <c r="V20" s="19">
        <f t="shared" si="9"/>
        <v>1.1865108614112119</v>
      </c>
      <c r="W20" s="2"/>
      <c r="X20" s="2">
        <f t="shared" si="10"/>
        <v>194159.50999999998</v>
      </c>
      <c r="Y20" s="2"/>
      <c r="Z20" s="19">
        <f t="shared" si="11"/>
        <v>2.1862308321480333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-67432</v>
      </c>
      <c r="E21" s="2"/>
      <c r="F21" s="19">
        <f t="shared" si="4"/>
        <v>-0.12592273529458231</v>
      </c>
      <c r="G21" s="2"/>
      <c r="H21" s="2">
        <v>-30211</v>
      </c>
      <c r="I21" s="2"/>
      <c r="J21" s="19">
        <f t="shared" si="5"/>
        <v>-0.55385243776836934</v>
      </c>
      <c r="K21" s="2"/>
      <c r="L21" s="2">
        <f t="shared" si="6"/>
        <v>-37221</v>
      </c>
      <c r="M21" s="2"/>
      <c r="N21" s="19">
        <f t="shared" si="7"/>
        <v>1.2320346893515608</v>
      </c>
      <c r="O21" s="11"/>
      <c r="P21" s="2">
        <v>-71437</v>
      </c>
      <c r="Q21" s="2"/>
      <c r="R21" s="19">
        <f t="shared" si="8"/>
        <v>-0.12355224722334757</v>
      </c>
      <c r="S21" s="2"/>
      <c r="T21" s="2">
        <v>-26802</v>
      </c>
      <c r="U21" s="2"/>
      <c r="V21" s="19">
        <f t="shared" si="9"/>
        <v>-0.35807686989352683</v>
      </c>
      <c r="W21" s="2"/>
      <c r="X21" s="2">
        <f t="shared" si="10"/>
        <v>-44635</v>
      </c>
      <c r="Y21" s="2"/>
      <c r="Z21" s="19">
        <f t="shared" si="11"/>
        <v>1.6653607939705992</v>
      </c>
    </row>
    <row r="22" spans="1:26" x14ac:dyDescent="0.3">
      <c r="A22" s="9"/>
      <c r="B22" s="10"/>
      <c r="C22" s="10"/>
      <c r="D22" s="3"/>
      <c r="E22" s="3"/>
      <c r="F22" s="6"/>
      <c r="G22" s="3"/>
      <c r="H22" s="3"/>
      <c r="I22" s="3"/>
      <c r="J22" s="6"/>
      <c r="K22" s="3"/>
      <c r="L22" s="3"/>
      <c r="M22" s="3"/>
      <c r="N22" s="6"/>
      <c r="O22" s="10"/>
      <c r="P22" s="3"/>
      <c r="Q22" s="3"/>
      <c r="R22" s="6"/>
      <c r="S22" s="3"/>
      <c r="T22" s="3"/>
      <c r="U22" s="3"/>
      <c r="V22" s="6"/>
      <c r="W22" s="3"/>
      <c r="X22" s="3"/>
      <c r="Y22" s="3"/>
      <c r="Z22" s="6"/>
    </row>
    <row r="23" spans="1:26" s="23" customFormat="1" x14ac:dyDescent="0.3">
      <c r="A23" s="10"/>
      <c r="B23" s="25" t="s">
        <v>107</v>
      </c>
      <c r="C23" s="25"/>
      <c r="D23" s="20">
        <f>D12-D19</f>
        <v>346158.52999999997</v>
      </c>
      <c r="E23" s="13"/>
      <c r="F23" s="22">
        <f>IF(D$12=0,0,D23/D$12)</f>
        <v>0.64641756055213728</v>
      </c>
      <c r="G23" s="13"/>
      <c r="H23" s="20">
        <f>H12-H19</f>
        <v>4228.4800000000105</v>
      </c>
      <c r="I23" s="13"/>
      <c r="J23" s="22">
        <f>IF(H$12=0,0,H23/H$12)</f>
        <v>7.7519908511959223E-2</v>
      </c>
      <c r="K23" s="15"/>
      <c r="L23" s="20">
        <f>+D23-H23</f>
        <v>341930.04999999993</v>
      </c>
      <c r="M23" s="15"/>
      <c r="N23" s="22">
        <f>IF(H23=0,0,L23/H23)</f>
        <v>80.863584550476546</v>
      </c>
      <c r="O23" s="26"/>
      <c r="P23" s="20">
        <f>P12-P19</f>
        <v>366659.97000000003</v>
      </c>
      <c r="Q23" s="13"/>
      <c r="R23" s="22">
        <f>IF(P$12=0,0,P23/P$12)</f>
        <v>0.63414845612700987</v>
      </c>
      <c r="S23" s="13"/>
      <c r="T23" s="20">
        <f>T12-T19</f>
        <v>12841.690000000002</v>
      </c>
      <c r="U23" s="13"/>
      <c r="V23" s="22">
        <f>IF(T$12=0,0,T23/T$12)</f>
        <v>0.17156600848231496</v>
      </c>
      <c r="W23" s="15"/>
      <c r="X23" s="20">
        <f>+P23-T23</f>
        <v>353818.28</v>
      </c>
      <c r="Y23" s="15"/>
      <c r="Z23" s="22">
        <f>IF(T23=0,0,X23/T23)</f>
        <v>27.552314376067322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1">
        <f>SUM(OSRRefD22x_0)</f>
        <v>515004.68999999994</v>
      </c>
      <c r="E25" s="21"/>
      <c r="F25" s="32">
        <f t="shared" ref="F25:F35" si="12">IF(D$12=0,0,D25/D$12)</f>
        <v>0.96172142683501027</v>
      </c>
      <c r="G25" s="21"/>
      <c r="H25" s="21">
        <f>SUM(OSRRefH22x_0)</f>
        <v>282928.91000000009</v>
      </c>
      <c r="I25" s="21"/>
      <c r="J25" s="32">
        <f t="shared" ref="J25:J35" si="13">IF(H$12=0,0,H25/H$12)</f>
        <v>5.1868811531775716</v>
      </c>
      <c r="K25" s="4"/>
      <c r="L25" s="21">
        <f t="shared" ref="L25:L35" si="14">+D25-H25</f>
        <v>232075.77999999985</v>
      </c>
      <c r="M25" s="4"/>
      <c r="N25" s="32">
        <f t="shared" ref="N25:N35" si="15">IF(H25=0,0,L25/H25)</f>
        <v>0.82026181064352799</v>
      </c>
      <c r="O25" s="10"/>
      <c r="P25" s="21">
        <f>SUM(OSRRefP22x_0)</f>
        <v>855485.70999999985</v>
      </c>
      <c r="Q25" s="21"/>
      <c r="R25" s="32">
        <f t="shared" ref="R25:R35" si="16">IF(P$12=0,0,P25/P$12)</f>
        <v>1.4795859559886473</v>
      </c>
      <c r="S25" s="21"/>
      <c r="T25" s="21">
        <f>SUM(OSRRefT22x_0)</f>
        <v>596024.06000000006</v>
      </c>
      <c r="U25" s="21"/>
      <c r="V25" s="32">
        <f t="shared" ref="V25:V35" si="17">IF(T$12=0,0,T25/T$12)</f>
        <v>7.9629292510272229</v>
      </c>
      <c r="W25" s="4"/>
      <c r="X25" s="21">
        <f t="shared" ref="X25:X35" si="18">+P25-T25</f>
        <v>259461.64999999979</v>
      </c>
      <c r="Y25" s="4"/>
      <c r="Z25" s="32">
        <f t="shared" ref="Z25:Z35" si="19">IF(T25=0,0,X25/T25)</f>
        <v>0.43532076540668468</v>
      </c>
    </row>
    <row r="26" spans="1:26" s="28" customFormat="1" outlineLevel="1" collapsed="1" x14ac:dyDescent="0.3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103884.97</v>
      </c>
      <c r="E26" s="1"/>
      <c r="F26" s="5">
        <f t="shared" si="12"/>
        <v>0.19399512958826112</v>
      </c>
      <c r="G26" s="1"/>
      <c r="H26" s="1">
        <f>SUM(OSRRefH22_0x_0)</f>
        <v>93657.88</v>
      </c>
      <c r="I26" s="1"/>
      <c r="J26" s="5">
        <f t="shared" si="13"/>
        <v>1.7170118550930922</v>
      </c>
      <c r="K26" s="1"/>
      <c r="L26" s="1">
        <f t="shared" si="14"/>
        <v>10227.089999999997</v>
      </c>
      <c r="M26" s="1"/>
      <c r="N26" s="5">
        <f t="shared" si="15"/>
        <v>0.10919625769876487</v>
      </c>
      <c r="O26" s="14"/>
      <c r="P26" s="1">
        <f>SUM(OSRRefP22_0x_0)</f>
        <v>197019.55000000002</v>
      </c>
      <c r="Q26" s="1"/>
      <c r="R26" s="5">
        <f t="shared" si="16"/>
        <v>0.34075070550880759</v>
      </c>
      <c r="S26" s="1"/>
      <c r="T26" s="1">
        <f>SUM(OSRRefT22_0x_0)</f>
        <v>191173.16000000003</v>
      </c>
      <c r="U26" s="1"/>
      <c r="V26" s="5">
        <f t="shared" si="17"/>
        <v>2.5540887523488691</v>
      </c>
      <c r="W26" s="1"/>
      <c r="X26" s="1">
        <f t="shared" si="18"/>
        <v>5846.3899999999849</v>
      </c>
      <c r="Y26" s="1"/>
      <c r="Z26" s="5">
        <f t="shared" si="19"/>
        <v>3.0581646503096898E-2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7">
        <v>13854.91</v>
      </c>
      <c r="E27" s="2"/>
      <c r="F27" s="8">
        <f t="shared" si="12"/>
        <v>2.5872703826970302E-2</v>
      </c>
      <c r="G27" s="2"/>
      <c r="H27" s="7">
        <v>9402.5499999999993</v>
      </c>
      <c r="I27" s="2"/>
      <c r="J27" s="8">
        <f t="shared" si="13"/>
        <v>0.17237513616692532</v>
      </c>
      <c r="K27" s="2"/>
      <c r="L27" s="7">
        <f t="shared" si="14"/>
        <v>4452.3600000000006</v>
      </c>
      <c r="M27" s="2"/>
      <c r="N27" s="8">
        <f t="shared" si="15"/>
        <v>0.47352686239371244</v>
      </c>
      <c r="O27" s="11"/>
      <c r="P27" s="7">
        <v>23683.040000000001</v>
      </c>
      <c r="Q27" s="2"/>
      <c r="R27" s="8">
        <f t="shared" si="16"/>
        <v>4.0960466048132332E-2</v>
      </c>
      <c r="S27" s="2"/>
      <c r="T27" s="7">
        <v>18417.71</v>
      </c>
      <c r="U27" s="2"/>
      <c r="V27" s="8">
        <f t="shared" si="17"/>
        <v>0.24606208295674603</v>
      </c>
      <c r="W27" s="2"/>
      <c r="X27" s="7">
        <f t="shared" si="18"/>
        <v>5265.3300000000017</v>
      </c>
      <c r="Y27" s="2"/>
      <c r="Z27" s="8">
        <f t="shared" si="19"/>
        <v>0.28588407570756635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7">
        <v>6025.09</v>
      </c>
      <c r="E28" s="2"/>
      <c r="F28" s="8">
        <f t="shared" si="12"/>
        <v>1.1251272588623131E-2</v>
      </c>
      <c r="G28" s="2"/>
      <c r="H28" s="7">
        <v>4477.29</v>
      </c>
      <c r="I28" s="2"/>
      <c r="J28" s="8">
        <f t="shared" si="13"/>
        <v>8.2081294266854538E-2</v>
      </c>
      <c r="K28" s="2"/>
      <c r="L28" s="7">
        <f t="shared" si="14"/>
        <v>1547.8000000000002</v>
      </c>
      <c r="M28" s="2"/>
      <c r="N28" s="8">
        <f t="shared" si="15"/>
        <v>0.34570018917693518</v>
      </c>
      <c r="O28" s="11"/>
      <c r="P28" s="7">
        <v>10244.68</v>
      </c>
      <c r="Q28" s="2"/>
      <c r="R28" s="8">
        <f t="shared" si="16"/>
        <v>1.7718454527542931E-2</v>
      </c>
      <c r="S28" s="2"/>
      <c r="T28" s="7">
        <v>8617.4</v>
      </c>
      <c r="U28" s="2"/>
      <c r="V28" s="8">
        <f t="shared" si="17"/>
        <v>0.11512915523544802</v>
      </c>
      <c r="W28" s="2"/>
      <c r="X28" s="7">
        <f t="shared" si="18"/>
        <v>1627.2800000000007</v>
      </c>
      <c r="Y28" s="2"/>
      <c r="Z28" s="8">
        <f t="shared" si="19"/>
        <v>0.18883654002367312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7">
        <v>54726.42</v>
      </c>
      <c r="E29" s="2"/>
      <c r="F29" s="8">
        <f t="shared" si="12"/>
        <v>0.10219629403369521</v>
      </c>
      <c r="G29" s="2"/>
      <c r="H29" s="7">
        <v>55053.17</v>
      </c>
      <c r="I29" s="2"/>
      <c r="J29" s="8">
        <f t="shared" si="13"/>
        <v>1.0092791503550513</v>
      </c>
      <c r="K29" s="2"/>
      <c r="L29" s="7">
        <f t="shared" si="14"/>
        <v>-326.75</v>
      </c>
      <c r="M29" s="2"/>
      <c r="N29" s="8">
        <f t="shared" si="15"/>
        <v>-5.9351713988495128E-3</v>
      </c>
      <c r="O29" s="11"/>
      <c r="P29" s="7">
        <v>107424.78</v>
      </c>
      <c r="Q29" s="2"/>
      <c r="R29" s="8">
        <f t="shared" si="16"/>
        <v>0.185794097967072</v>
      </c>
      <c r="S29" s="2"/>
      <c r="T29" s="7">
        <v>110362.78</v>
      </c>
      <c r="U29" s="2"/>
      <c r="V29" s="8">
        <f t="shared" si="17"/>
        <v>1.4744555934313828</v>
      </c>
      <c r="W29" s="2"/>
      <c r="X29" s="7">
        <f t="shared" si="18"/>
        <v>-2938</v>
      </c>
      <c r="Y29" s="2"/>
      <c r="Z29" s="8">
        <f t="shared" si="19"/>
        <v>-2.6621293881868506E-2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7">
        <v>464.13</v>
      </c>
      <c r="E30" s="2"/>
      <c r="F30" s="8">
        <f t="shared" si="12"/>
        <v>8.6671786588377161E-4</v>
      </c>
      <c r="G30" s="2"/>
      <c r="H30" s="7">
        <v>323.45999999999998</v>
      </c>
      <c r="I30" s="2"/>
      <c r="J30" s="8">
        <f t="shared" si="13"/>
        <v>5.9299298110144227E-3</v>
      </c>
      <c r="K30" s="2"/>
      <c r="L30" s="7">
        <f t="shared" si="14"/>
        <v>140.67000000000002</v>
      </c>
      <c r="M30" s="2"/>
      <c r="N30" s="8">
        <f t="shared" si="15"/>
        <v>0.4348914858096829</v>
      </c>
      <c r="O30" s="11"/>
      <c r="P30" s="7">
        <v>797.65</v>
      </c>
      <c r="Q30" s="2"/>
      <c r="R30" s="8">
        <f t="shared" si="16"/>
        <v>1.3795575121814071E-3</v>
      </c>
      <c r="S30" s="2"/>
      <c r="T30" s="7">
        <v>698.03</v>
      </c>
      <c r="U30" s="2"/>
      <c r="V30" s="8">
        <f t="shared" si="17"/>
        <v>9.3257367917236964E-3</v>
      </c>
      <c r="W30" s="2"/>
      <c r="X30" s="7">
        <f t="shared" si="18"/>
        <v>99.62</v>
      </c>
      <c r="Y30" s="2"/>
      <c r="Z30" s="8">
        <f t="shared" si="19"/>
        <v>0.1427159291147945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7">
        <v>6888.55</v>
      </c>
      <c r="E31" s="2"/>
      <c r="F31" s="8">
        <f t="shared" si="12"/>
        <v>1.2863700590424352E-2</v>
      </c>
      <c r="G31" s="2"/>
      <c r="H31" s="7">
        <v>6333.53</v>
      </c>
      <c r="I31" s="2"/>
      <c r="J31" s="8">
        <f t="shared" si="13"/>
        <v>0.11611138426993811</v>
      </c>
      <c r="K31" s="2"/>
      <c r="L31" s="7">
        <f t="shared" si="14"/>
        <v>555.02000000000044</v>
      </c>
      <c r="M31" s="2"/>
      <c r="N31" s="8">
        <f t="shared" si="15"/>
        <v>8.763201563740923E-2</v>
      </c>
      <c r="O31" s="11"/>
      <c r="P31" s="7">
        <v>13415.11</v>
      </c>
      <c r="Q31" s="2"/>
      <c r="R31" s="8">
        <f t="shared" si="16"/>
        <v>2.3201800009076561E-2</v>
      </c>
      <c r="S31" s="2"/>
      <c r="T31" s="7">
        <v>16360.09</v>
      </c>
      <c r="U31" s="2"/>
      <c r="V31" s="8">
        <f t="shared" si="17"/>
        <v>0.21857211470697668</v>
      </c>
      <c r="W31" s="2"/>
      <c r="X31" s="7">
        <f t="shared" si="18"/>
        <v>-2944.9799999999996</v>
      </c>
      <c r="Y31" s="2"/>
      <c r="Z31" s="8">
        <f t="shared" si="19"/>
        <v>-0.18001001216985968</v>
      </c>
    </row>
    <row r="32" spans="1:26" s="24" customFormat="1" hidden="1" outlineLevel="2" x14ac:dyDescent="0.3">
      <c r="A32" s="27"/>
      <c r="B32" s="11" t="str">
        <f>CONCATENATE("          ", "6117", " - ", "RETIREMENT STAFF HOURLY")</f>
        <v xml:space="preserve">          6117 - RETIREMENT STAFF HOURLY</v>
      </c>
      <c r="C32" s="11"/>
      <c r="D32" s="7">
        <v>2188.98</v>
      </c>
      <c r="E32" s="2"/>
      <c r="F32" s="8">
        <f t="shared" si="12"/>
        <v>4.0877083447789595E-3</v>
      </c>
      <c r="G32" s="2"/>
      <c r="H32" s="7">
        <v>1373.88</v>
      </c>
      <c r="I32" s="2"/>
      <c r="J32" s="8">
        <f t="shared" si="13"/>
        <v>2.5187077130886342E-2</v>
      </c>
      <c r="K32" s="2"/>
      <c r="L32" s="7">
        <f t="shared" si="14"/>
        <v>815.09999999999991</v>
      </c>
      <c r="M32" s="2"/>
      <c r="N32" s="8">
        <f t="shared" si="15"/>
        <v>0.59328325617957889</v>
      </c>
      <c r="O32" s="11"/>
      <c r="P32" s="7">
        <v>3470.62</v>
      </c>
      <c r="Q32" s="2"/>
      <c r="R32" s="8">
        <f t="shared" si="16"/>
        <v>6.0025323048041564E-3</v>
      </c>
      <c r="S32" s="2"/>
      <c r="T32" s="7">
        <v>3343.02</v>
      </c>
      <c r="U32" s="2"/>
      <c r="V32" s="8">
        <f t="shared" si="17"/>
        <v>4.4663015356744197E-2</v>
      </c>
      <c r="W32" s="2"/>
      <c r="X32" s="7">
        <f t="shared" si="18"/>
        <v>127.59999999999991</v>
      </c>
      <c r="Y32" s="2"/>
      <c r="Z32" s="8">
        <f t="shared" si="19"/>
        <v>3.8169080651626344E-2</v>
      </c>
    </row>
    <row r="33" spans="1:26" s="24" customFormat="1" hidden="1" outlineLevel="2" x14ac:dyDescent="0.3">
      <c r="A33" s="27"/>
      <c r="B33" s="11" t="str">
        <f>CONCATENATE("          ", "6118", " - ", "VACATION")</f>
        <v xml:space="preserve">          6118 - VACATION</v>
      </c>
      <c r="C33" s="11"/>
      <c r="D33" s="7">
        <v>9698.2900000000009</v>
      </c>
      <c r="E33" s="2"/>
      <c r="F33" s="8">
        <f t="shared" si="12"/>
        <v>1.8110618170602898E-2</v>
      </c>
      <c r="G33" s="2"/>
      <c r="H33" s="7">
        <v>8430.9699999999993</v>
      </c>
      <c r="I33" s="2"/>
      <c r="J33" s="8">
        <f t="shared" si="13"/>
        <v>0.15456334736526392</v>
      </c>
      <c r="K33" s="2"/>
      <c r="L33" s="7">
        <f t="shared" si="14"/>
        <v>1267.3200000000015</v>
      </c>
      <c r="M33" s="2"/>
      <c r="N33" s="8">
        <f t="shared" si="15"/>
        <v>0.15031722328510261</v>
      </c>
      <c r="O33" s="11"/>
      <c r="P33" s="7">
        <v>18683.310000000001</v>
      </c>
      <c r="Q33" s="2"/>
      <c r="R33" s="8">
        <f t="shared" si="16"/>
        <v>3.2313296136042134E-2</v>
      </c>
      <c r="S33" s="2"/>
      <c r="T33" s="7">
        <v>16443.419999999998</v>
      </c>
      <c r="U33" s="2"/>
      <c r="V33" s="8">
        <f t="shared" si="17"/>
        <v>0.21968541019120275</v>
      </c>
      <c r="W33" s="2"/>
      <c r="X33" s="7">
        <f t="shared" si="18"/>
        <v>2239.8900000000031</v>
      </c>
      <c r="Y33" s="2"/>
      <c r="Z33" s="8">
        <f t="shared" si="19"/>
        <v>0.13621801304108289</v>
      </c>
    </row>
    <row r="34" spans="1:26" s="24" customFormat="1" hidden="1" outlineLevel="2" x14ac:dyDescent="0.3">
      <c r="A34" s="27"/>
      <c r="B34" s="11" t="str">
        <f>CONCATENATE("          ", "6119", " - ", "SICK LEAVE")</f>
        <v xml:space="preserve">          6119 - SICK LEAVE</v>
      </c>
      <c r="C34" s="11"/>
      <c r="D34" s="7">
        <v>6415.36</v>
      </c>
      <c r="E34" s="2"/>
      <c r="F34" s="8">
        <f t="shared" si="12"/>
        <v>1.1980064051184179E-2</v>
      </c>
      <c r="G34" s="2"/>
      <c r="H34" s="7">
        <v>5575.88</v>
      </c>
      <c r="I34" s="2"/>
      <c r="J34" s="8">
        <f t="shared" si="13"/>
        <v>0.10222153290867218</v>
      </c>
      <c r="K34" s="2"/>
      <c r="L34" s="7">
        <f t="shared" si="14"/>
        <v>839.47999999999956</v>
      </c>
      <c r="M34" s="2"/>
      <c r="N34" s="8">
        <f t="shared" si="15"/>
        <v>0.15055560736601209</v>
      </c>
      <c r="O34" s="11"/>
      <c r="P34" s="7">
        <v>12262.95</v>
      </c>
      <c r="Q34" s="2"/>
      <c r="R34" s="8">
        <f t="shared" si="16"/>
        <v>2.1209107746511614E-2</v>
      </c>
      <c r="S34" s="2"/>
      <c r="T34" s="7">
        <v>11231.01</v>
      </c>
      <c r="U34" s="2"/>
      <c r="V34" s="8">
        <f t="shared" si="17"/>
        <v>0.15004719448335566</v>
      </c>
      <c r="W34" s="2"/>
      <c r="X34" s="7">
        <f t="shared" si="18"/>
        <v>1031.9400000000005</v>
      </c>
      <c r="Y34" s="2"/>
      <c r="Z34" s="8">
        <f t="shared" si="19"/>
        <v>9.188309867055594E-2</v>
      </c>
    </row>
    <row r="35" spans="1:26" s="24" customFormat="1" hidden="1" outlineLevel="2" x14ac:dyDescent="0.3">
      <c r="A35" s="27"/>
      <c r="B35" s="11" t="str">
        <f>CONCATENATE("          ", "6156", " - ", "EMPLOYEE MEALS")</f>
        <v xml:space="preserve">          6156 - EMPLOYEE MEALS</v>
      </c>
      <c r="C35" s="11"/>
      <c r="D35" s="7">
        <v>3623.24</v>
      </c>
      <c r="E35" s="2"/>
      <c r="F35" s="8">
        <f t="shared" si="12"/>
        <v>6.7660501160983263E-3</v>
      </c>
      <c r="G35" s="2"/>
      <c r="H35" s="7">
        <v>2687.15</v>
      </c>
      <c r="I35" s="2"/>
      <c r="J35" s="8">
        <f t="shared" si="13"/>
        <v>4.9263002818485772E-2</v>
      </c>
      <c r="K35" s="2"/>
      <c r="L35" s="7">
        <f t="shared" si="14"/>
        <v>936.08999999999969</v>
      </c>
      <c r="M35" s="2"/>
      <c r="N35" s="8">
        <f t="shared" si="15"/>
        <v>0.34835792568334467</v>
      </c>
      <c r="O35" s="11"/>
      <c r="P35" s="7">
        <v>7037.41</v>
      </c>
      <c r="Q35" s="2"/>
      <c r="R35" s="8">
        <f t="shared" si="16"/>
        <v>1.2171393257444438E-2</v>
      </c>
      <c r="S35" s="2"/>
      <c r="T35" s="7">
        <v>5699.7</v>
      </c>
      <c r="U35" s="2"/>
      <c r="V35" s="8">
        <f t="shared" si="17"/>
        <v>7.6148449195288959E-2</v>
      </c>
      <c r="W35" s="2"/>
      <c r="X35" s="7">
        <f t="shared" si="18"/>
        <v>1337.71</v>
      </c>
      <c r="Y35" s="2"/>
      <c r="Z35" s="8">
        <f t="shared" si="19"/>
        <v>0.23469831745530467</v>
      </c>
    </row>
    <row r="36" spans="1:26" s="28" customFormat="1" outlineLevel="1" collapsed="1" x14ac:dyDescent="0.3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200137.06</v>
      </c>
      <c r="E36" s="1"/>
      <c r="F36" s="5">
        <f t="shared" ref="F36:F42" si="20">IF(D$12=0,0,D36/D$12)</f>
        <v>0.37373659433230422</v>
      </c>
      <c r="G36" s="1"/>
      <c r="H36" s="1">
        <f>SUM(OSRRefH22_1x_0)</f>
        <v>118437.17</v>
      </c>
      <c r="I36" s="1"/>
      <c r="J36" s="5">
        <f t="shared" ref="J36:J42" si="21">IF(H$12=0,0,H36/H$12)</f>
        <v>2.1712858007641844</v>
      </c>
      <c r="K36" s="1"/>
      <c r="L36" s="1">
        <f t="shared" ref="L36:L42" si="22">+D36-H36</f>
        <v>81699.89</v>
      </c>
      <c r="M36" s="1"/>
      <c r="N36" s="5">
        <f t="shared" ref="N36:N42" si="23">IF(H36=0,0,L36/H36)</f>
        <v>0.68981629669131739</v>
      </c>
      <c r="O36" s="14"/>
      <c r="P36" s="1">
        <f>SUM(OSRRefP22_1x_0)</f>
        <v>352935.55</v>
      </c>
      <c r="Q36" s="1"/>
      <c r="R36" s="5">
        <f t="shared" ref="R36:R42" si="24">IF(P$12=0,0,P36/P$12)</f>
        <v>0.61041169600498546</v>
      </c>
      <c r="S36" s="1"/>
      <c r="T36" s="1">
        <f>SUM(OSRRefT22_1x_0)</f>
        <v>241862.74999999997</v>
      </c>
      <c r="U36" s="1"/>
      <c r="V36" s="5">
        <f t="shared" ref="V36:V42" si="25">IF(T$12=0,0,T36/T$12)</f>
        <v>3.2313057407596668</v>
      </c>
      <c r="W36" s="1"/>
      <c r="X36" s="1">
        <f t="shared" ref="X36:X42" si="26">+P36-T36</f>
        <v>111072.80000000002</v>
      </c>
      <c r="Y36" s="1"/>
      <c r="Z36" s="5">
        <f t="shared" ref="Z36:Z42" si="27">IF(T36=0,0,X36/T36)</f>
        <v>0.4592389692087766</v>
      </c>
    </row>
    <row r="37" spans="1:26" s="24" customFormat="1" hidden="1" outlineLevel="2" x14ac:dyDescent="0.3">
      <c r="A37" s="27"/>
      <c r="B37" s="11" t="str">
        <f>CONCATENATE("          ", "6001", " - ", "ADMINISTRATIVE SALARIES")</f>
        <v xml:space="preserve">          6001 - ADMINISTRATIVE SALARIES</v>
      </c>
      <c r="C37" s="11"/>
      <c r="D37" s="7">
        <v>17814.96</v>
      </c>
      <c r="E37" s="2"/>
      <c r="F37" s="8">
        <f t="shared" si="20"/>
        <v>3.3267714028407461E-2</v>
      </c>
      <c r="G37" s="2"/>
      <c r="H37" s="7">
        <v>16445</v>
      </c>
      <c r="I37" s="2"/>
      <c r="J37" s="8">
        <f t="shared" si="21"/>
        <v>0.30148301410416184</v>
      </c>
      <c r="K37" s="2"/>
      <c r="L37" s="7">
        <f t="shared" si="22"/>
        <v>1369.9599999999991</v>
      </c>
      <c r="M37" s="2"/>
      <c r="N37" s="8">
        <f t="shared" si="23"/>
        <v>8.3305564001216123E-2</v>
      </c>
      <c r="O37" s="11"/>
      <c r="P37" s="7">
        <v>42850.78</v>
      </c>
      <c r="Q37" s="2"/>
      <c r="R37" s="8">
        <f t="shared" si="24"/>
        <v>7.4111597131364379E-2</v>
      </c>
      <c r="S37" s="2"/>
      <c r="T37" s="7">
        <v>38851.870000000003</v>
      </c>
      <c r="U37" s="2"/>
      <c r="V37" s="8">
        <f t="shared" si="25"/>
        <v>0.51906409966085432</v>
      </c>
      <c r="W37" s="2"/>
      <c r="X37" s="7">
        <f t="shared" si="26"/>
        <v>3998.9099999999962</v>
      </c>
      <c r="Y37" s="2"/>
      <c r="Z37" s="8">
        <f t="shared" si="27"/>
        <v>0.1029270920550284</v>
      </c>
    </row>
    <row r="38" spans="1:26" s="24" customFormat="1" hidden="1" outlineLevel="2" x14ac:dyDescent="0.3">
      <c r="A38" s="27"/>
      <c r="B38" s="11" t="str">
        <f>CONCATENATE("          ", "6002", " - ", "STAFF SALARIES")</f>
        <v xml:space="preserve">          6002 - STAFF SALARIES</v>
      </c>
      <c r="C38" s="11"/>
      <c r="D38" s="7">
        <v>52220.07</v>
      </c>
      <c r="E38" s="2"/>
      <c r="F38" s="8">
        <f t="shared" si="20"/>
        <v>9.7515927922567303E-2</v>
      </c>
      <c r="G38" s="2"/>
      <c r="H38" s="7">
        <v>42270.98</v>
      </c>
      <c r="I38" s="2"/>
      <c r="J38" s="8">
        <f t="shared" si="21"/>
        <v>0.7749457257243384</v>
      </c>
      <c r="K38" s="2"/>
      <c r="L38" s="7">
        <f t="shared" si="22"/>
        <v>9949.0899999999965</v>
      </c>
      <c r="M38" s="2"/>
      <c r="N38" s="8">
        <f t="shared" si="23"/>
        <v>0.23536454560551934</v>
      </c>
      <c r="O38" s="11"/>
      <c r="P38" s="7">
        <v>111067.53</v>
      </c>
      <c r="Q38" s="2"/>
      <c r="R38" s="8">
        <f t="shared" si="24"/>
        <v>0.19209433381926133</v>
      </c>
      <c r="S38" s="2"/>
      <c r="T38" s="7">
        <v>97606.48</v>
      </c>
      <c r="U38" s="2"/>
      <c r="V38" s="8">
        <f t="shared" si="25"/>
        <v>1.3040304021985347</v>
      </c>
      <c r="W38" s="2"/>
      <c r="X38" s="7">
        <f t="shared" si="26"/>
        <v>13461.050000000003</v>
      </c>
      <c r="Y38" s="2"/>
      <c r="Z38" s="8">
        <f t="shared" si="27"/>
        <v>0.13791143784715937</v>
      </c>
    </row>
    <row r="39" spans="1:26" s="24" customFormat="1" hidden="1" outlineLevel="2" x14ac:dyDescent="0.3">
      <c r="A39" s="27"/>
      <c r="B39" s="11" t="str">
        <f>CONCATENATE("          ", "6004", " - ", "STAFF HOURLY")</f>
        <v xml:space="preserve">          6004 - STAFF HOURLY</v>
      </c>
      <c r="C39" s="11"/>
      <c r="D39" s="7">
        <v>56820.800000000003</v>
      </c>
      <c r="E39" s="2"/>
      <c r="F39" s="8">
        <f t="shared" si="20"/>
        <v>0.10610734603194927</v>
      </c>
      <c r="G39" s="2"/>
      <c r="H39" s="7">
        <v>46538.99</v>
      </c>
      <c r="I39" s="2"/>
      <c r="J39" s="8">
        <f t="shared" si="21"/>
        <v>0.85319033010419254</v>
      </c>
      <c r="K39" s="2"/>
      <c r="L39" s="7">
        <f t="shared" si="22"/>
        <v>10281.810000000005</v>
      </c>
      <c r="M39" s="2"/>
      <c r="N39" s="8">
        <f t="shared" si="23"/>
        <v>0.22092894581511127</v>
      </c>
      <c r="O39" s="11"/>
      <c r="P39" s="7">
        <v>103016.95</v>
      </c>
      <c r="Q39" s="2"/>
      <c r="R39" s="8">
        <f t="shared" si="24"/>
        <v>0.17817063530936678</v>
      </c>
      <c r="S39" s="2"/>
      <c r="T39" s="7">
        <v>82471.199999999997</v>
      </c>
      <c r="U39" s="2"/>
      <c r="V39" s="8">
        <f t="shared" si="25"/>
        <v>1.1018218473383712</v>
      </c>
      <c r="W39" s="2"/>
      <c r="X39" s="7">
        <f t="shared" si="26"/>
        <v>20545.75</v>
      </c>
      <c r="Y39" s="2"/>
      <c r="Z39" s="8">
        <f t="shared" si="27"/>
        <v>0.24912636168747393</v>
      </c>
    </row>
    <row r="40" spans="1:26" s="24" customFormat="1" hidden="1" outlineLevel="2" x14ac:dyDescent="0.3">
      <c r="A40" s="27"/>
      <c r="B40" s="11" t="str">
        <f>CONCATENATE("          ", "6005", " - ", "TEMPORARY WAGES-HOURLY")</f>
        <v xml:space="preserve">          6005 - TEMPORARY WAGES-HOURLY</v>
      </c>
      <c r="C40" s="11"/>
      <c r="D40" s="7">
        <v>19916.96</v>
      </c>
      <c r="E40" s="2"/>
      <c r="F40" s="8">
        <f t="shared" si="20"/>
        <v>3.7192995639351994E-2</v>
      </c>
      <c r="G40" s="2"/>
      <c r="H40" s="7">
        <v>1108.2</v>
      </c>
      <c r="I40" s="2"/>
      <c r="J40" s="8">
        <f t="shared" si="21"/>
        <v>2.0316416918834429E-2</v>
      </c>
      <c r="K40" s="2"/>
      <c r="L40" s="7">
        <f t="shared" si="22"/>
        <v>18808.759999999998</v>
      </c>
      <c r="M40" s="2"/>
      <c r="N40" s="8">
        <f t="shared" si="23"/>
        <v>16.972351561090054</v>
      </c>
      <c r="O40" s="11"/>
      <c r="P40" s="7">
        <v>27896.23</v>
      </c>
      <c r="Q40" s="2"/>
      <c r="R40" s="8">
        <f t="shared" si="24"/>
        <v>4.8247293497198439E-2</v>
      </c>
      <c r="S40" s="2"/>
      <c r="T40" s="7">
        <v>1108.2</v>
      </c>
      <c r="U40" s="2"/>
      <c r="V40" s="8">
        <f t="shared" si="25"/>
        <v>1.4805640893067922E-2</v>
      </c>
      <c r="W40" s="2"/>
      <c r="X40" s="7">
        <f t="shared" si="26"/>
        <v>26788.03</v>
      </c>
      <c r="Y40" s="2"/>
      <c r="Z40" s="8">
        <f t="shared" si="27"/>
        <v>24.172559104854717</v>
      </c>
    </row>
    <row r="41" spans="1:26" s="24" customFormat="1" hidden="1" outlineLevel="2" x14ac:dyDescent="0.3">
      <c r="A41" s="27"/>
      <c r="B41" s="11" t="str">
        <f>CONCATENATE("          ", "6007", " - ", "STUDENT HOURLY")</f>
        <v xml:space="preserve">          6007 - STUDENT HOURLY</v>
      </c>
      <c r="C41" s="11"/>
      <c r="D41" s="7">
        <v>51734.81</v>
      </c>
      <c r="E41" s="2"/>
      <c r="F41" s="8">
        <f t="shared" si="20"/>
        <v>9.6609751826217657E-2</v>
      </c>
      <c r="G41" s="2"/>
      <c r="H41" s="7">
        <v>11457.67</v>
      </c>
      <c r="I41" s="2"/>
      <c r="J41" s="8">
        <f t="shared" si="21"/>
        <v>0.21005125486231876</v>
      </c>
      <c r="K41" s="2"/>
      <c r="L41" s="7">
        <f t="shared" si="22"/>
        <v>40277.14</v>
      </c>
      <c r="M41" s="2"/>
      <c r="N41" s="8">
        <f t="shared" si="23"/>
        <v>3.5152993584210401</v>
      </c>
      <c r="O41" s="11"/>
      <c r="P41" s="7">
        <v>66474.600000000006</v>
      </c>
      <c r="Q41" s="2"/>
      <c r="R41" s="8">
        <f t="shared" si="24"/>
        <v>0.11496964056823691</v>
      </c>
      <c r="S41" s="2"/>
      <c r="T41" s="7">
        <v>21208.67</v>
      </c>
      <c r="U41" s="2"/>
      <c r="V41" s="8">
        <f t="shared" si="25"/>
        <v>0.28334953243059269</v>
      </c>
      <c r="W41" s="2"/>
      <c r="X41" s="7">
        <f t="shared" si="26"/>
        <v>45265.930000000008</v>
      </c>
      <c r="Y41" s="2"/>
      <c r="Z41" s="8">
        <f t="shared" si="27"/>
        <v>2.1343125240762393</v>
      </c>
    </row>
    <row r="42" spans="1:26" s="24" customFormat="1" hidden="1" outlineLevel="2" x14ac:dyDescent="0.3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7">
        <v>1629.46</v>
      </c>
      <c r="E42" s="2"/>
      <c r="F42" s="8">
        <f t="shared" si="20"/>
        <v>3.0428588838105068E-3</v>
      </c>
      <c r="G42" s="2"/>
      <c r="H42" s="7">
        <v>616.33000000000004</v>
      </c>
      <c r="I42" s="2"/>
      <c r="J42" s="8">
        <f t="shared" si="21"/>
        <v>1.1299059050338589E-2</v>
      </c>
      <c r="K42" s="2"/>
      <c r="L42" s="7">
        <f t="shared" si="22"/>
        <v>1013.13</v>
      </c>
      <c r="M42" s="2"/>
      <c r="N42" s="8">
        <f t="shared" si="23"/>
        <v>1.6438109454350753</v>
      </c>
      <c r="O42" s="11"/>
      <c r="P42" s="7">
        <v>1629.46</v>
      </c>
      <c r="Q42" s="2"/>
      <c r="R42" s="8">
        <f t="shared" si="24"/>
        <v>2.818195679557595E-3</v>
      </c>
      <c r="S42" s="2"/>
      <c r="T42" s="7">
        <v>616.33000000000004</v>
      </c>
      <c r="U42" s="2"/>
      <c r="V42" s="8">
        <f t="shared" si="25"/>
        <v>8.2342182382463026E-3</v>
      </c>
      <c r="W42" s="2"/>
      <c r="X42" s="7">
        <f t="shared" si="26"/>
        <v>1013.13</v>
      </c>
      <c r="Y42" s="2"/>
      <c r="Z42" s="8">
        <f t="shared" si="27"/>
        <v>1.6438109454350753</v>
      </c>
    </row>
    <row r="43" spans="1:26" s="28" customFormat="1" outlineLevel="1" collapsed="1" x14ac:dyDescent="0.3">
      <c r="A43" s="29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2018.7</v>
      </c>
      <c r="E43" s="1"/>
      <c r="F43" s="5">
        <f t="shared" ref="F43:F51" si="28">IF(D$12=0,0,D43/D$12)</f>
        <v>3.7697269210341276E-3</v>
      </c>
      <c r="G43" s="1"/>
      <c r="H43" s="1">
        <f>SUM(OSRRefH22_2x_0)</f>
        <v>704.51</v>
      </c>
      <c r="I43" s="1"/>
      <c r="J43" s="5">
        <f t="shared" ref="J43:J51" si="29">IF(H$12=0,0,H43/H$12)</f>
        <v>1.2915645987626821E-2</v>
      </c>
      <c r="K43" s="1"/>
      <c r="L43" s="1">
        <f t="shared" ref="L43:L51" si="30">+D43-H43</f>
        <v>1314.19</v>
      </c>
      <c r="M43" s="1"/>
      <c r="N43" s="5">
        <f t="shared" ref="N43:N51" si="31">IF(H43=0,0,L43/H43)</f>
        <v>1.8653958070148047</v>
      </c>
      <c r="O43" s="14"/>
      <c r="P43" s="1">
        <f>SUM(OSRRefP22_2x_0)</f>
        <v>2564.4299999999998</v>
      </c>
      <c r="Q43" s="1"/>
      <c r="R43" s="5">
        <f t="shared" ref="R43:R51" si="32">IF(P$12=0,0,P43/P$12)</f>
        <v>4.4352518911344148E-3</v>
      </c>
      <c r="S43" s="1"/>
      <c r="T43" s="1">
        <f>SUM(OSRRefT22_2x_0)</f>
        <v>1474.97</v>
      </c>
      <c r="U43" s="1"/>
      <c r="V43" s="5">
        <f t="shared" ref="V43:V51" si="33">IF(T$12=0,0,T43/T$12)</f>
        <v>1.9705717513127947E-2</v>
      </c>
      <c r="W43" s="1"/>
      <c r="X43" s="1">
        <f t="shared" ref="X43:X51" si="34">+P43-T43</f>
        <v>1089.4599999999998</v>
      </c>
      <c r="Y43" s="1"/>
      <c r="Z43" s="5">
        <f t="shared" ref="Z43:Z51" si="35">IF(T43=0,0,X43/T43)</f>
        <v>0.73863197217570509</v>
      </c>
    </row>
    <row r="44" spans="1:26" s="24" customFormat="1" hidden="1" outlineLevel="2" x14ac:dyDescent="0.3">
      <c r="A44" s="27"/>
      <c r="B44" s="11" t="str">
        <f>CONCATENATE("          ", "6362", " - ", "ADVERTISING EXPENSE")</f>
        <v xml:space="preserve">          6362 - ADVERTISING EXPENSE</v>
      </c>
      <c r="C44" s="11"/>
      <c r="D44" s="7">
        <v>2018.7</v>
      </c>
      <c r="E44" s="2"/>
      <c r="F44" s="8">
        <f t="shared" si="28"/>
        <v>3.7697269210341276E-3</v>
      </c>
      <c r="G44" s="2"/>
      <c r="H44" s="7">
        <v>704.51</v>
      </c>
      <c r="I44" s="2"/>
      <c r="J44" s="8">
        <f t="shared" si="29"/>
        <v>1.2915645987626821E-2</v>
      </c>
      <c r="K44" s="2"/>
      <c r="L44" s="7">
        <f t="shared" si="30"/>
        <v>1314.19</v>
      </c>
      <c r="M44" s="2"/>
      <c r="N44" s="8">
        <f t="shared" si="31"/>
        <v>1.8653958070148047</v>
      </c>
      <c r="O44" s="11"/>
      <c r="P44" s="7">
        <v>2564.4299999999998</v>
      </c>
      <c r="Q44" s="2"/>
      <c r="R44" s="8">
        <f t="shared" si="32"/>
        <v>4.4352518911344148E-3</v>
      </c>
      <c r="S44" s="2"/>
      <c r="T44" s="7">
        <v>1474.97</v>
      </c>
      <c r="U44" s="2"/>
      <c r="V44" s="8">
        <f t="shared" si="33"/>
        <v>1.9705717513127947E-2</v>
      </c>
      <c r="W44" s="2"/>
      <c r="X44" s="7">
        <f t="shared" si="34"/>
        <v>1089.4599999999998</v>
      </c>
      <c r="Y44" s="2"/>
      <c r="Z44" s="8">
        <f t="shared" si="35"/>
        <v>0.73863197217570509</v>
      </c>
    </row>
    <row r="45" spans="1:26" s="28" customFormat="1" outlineLevel="1" collapsed="1" x14ac:dyDescent="0.3">
      <c r="A45" s="29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-88.22</v>
      </c>
      <c r="E45" s="1"/>
      <c r="F45" s="5">
        <f t="shared" si="28"/>
        <v>-1.647423138522964E-4</v>
      </c>
      <c r="G45" s="1"/>
      <c r="H45" s="1">
        <f>SUM(OSRRefH22_3x_0)</f>
        <v>31.86</v>
      </c>
      <c r="I45" s="1"/>
      <c r="J45" s="5">
        <f t="shared" si="29"/>
        <v>5.8408323681110349E-4</v>
      </c>
      <c r="K45" s="1"/>
      <c r="L45" s="1">
        <f t="shared" si="30"/>
        <v>-120.08</v>
      </c>
      <c r="M45" s="1"/>
      <c r="N45" s="5">
        <f t="shared" si="31"/>
        <v>-3.768989328311362</v>
      </c>
      <c r="O45" s="14"/>
      <c r="P45" s="1">
        <f>SUM(OSRRefP22_3x_0)</f>
        <v>-107.24</v>
      </c>
      <c r="Q45" s="1"/>
      <c r="R45" s="5">
        <f t="shared" si="32"/>
        <v>-1.8547451589836909E-4</v>
      </c>
      <c r="S45" s="1"/>
      <c r="T45" s="1">
        <f>SUM(OSRRefT22_3x_0)</f>
        <v>31.86</v>
      </c>
      <c r="U45" s="1"/>
      <c r="V45" s="5">
        <f t="shared" si="33"/>
        <v>4.2565215561554226E-4</v>
      </c>
      <c r="W45" s="1"/>
      <c r="X45" s="1">
        <f t="shared" si="34"/>
        <v>-139.1</v>
      </c>
      <c r="Y45" s="1"/>
      <c r="Z45" s="5">
        <f t="shared" si="35"/>
        <v>-4.3659761456371626</v>
      </c>
    </row>
    <row r="46" spans="1:26" s="24" customFormat="1" hidden="1" outlineLevel="2" x14ac:dyDescent="0.3">
      <c r="A46" s="27"/>
      <c r="B46" s="11" t="str">
        <f>CONCATENATE("          ", "6272", " - ", "CASH (OVER/SHORT)")</f>
        <v xml:space="preserve">          6272 - CASH (OVER/SHORT)</v>
      </c>
      <c r="C46" s="11"/>
      <c r="D46" s="7">
        <v>-88.22</v>
      </c>
      <c r="E46" s="2"/>
      <c r="F46" s="8">
        <f t="shared" si="28"/>
        <v>-1.647423138522964E-4</v>
      </c>
      <c r="G46" s="2"/>
      <c r="H46" s="7">
        <v>31.86</v>
      </c>
      <c r="I46" s="2"/>
      <c r="J46" s="8">
        <f t="shared" si="29"/>
        <v>5.8408323681110349E-4</v>
      </c>
      <c r="K46" s="2"/>
      <c r="L46" s="7">
        <f t="shared" si="30"/>
        <v>-120.08</v>
      </c>
      <c r="M46" s="2"/>
      <c r="N46" s="8">
        <f t="shared" si="31"/>
        <v>-3.768989328311362</v>
      </c>
      <c r="O46" s="11"/>
      <c r="P46" s="7">
        <v>-107.24</v>
      </c>
      <c r="Q46" s="2"/>
      <c r="R46" s="8">
        <f t="shared" si="32"/>
        <v>-1.8547451589836909E-4</v>
      </c>
      <c r="S46" s="2"/>
      <c r="T46" s="7">
        <v>31.86</v>
      </c>
      <c r="U46" s="2"/>
      <c r="V46" s="8">
        <f t="shared" si="33"/>
        <v>4.2565215561554226E-4</v>
      </c>
      <c r="W46" s="2"/>
      <c r="X46" s="7">
        <f t="shared" si="34"/>
        <v>-139.1</v>
      </c>
      <c r="Y46" s="2"/>
      <c r="Z46" s="8">
        <f t="shared" si="35"/>
        <v>-4.3659761456371626</v>
      </c>
    </row>
    <row r="47" spans="1:26" s="28" customFormat="1" outlineLevel="1" collapsed="1" x14ac:dyDescent="0.3">
      <c r="A47" s="29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2463.14</v>
      </c>
      <c r="E47" s="1"/>
      <c r="F47" s="5">
        <f t="shared" si="28"/>
        <v>4.599675617117948E-3</v>
      </c>
      <c r="G47" s="1"/>
      <c r="H47" s="1">
        <f>SUM(OSRRefH22_4x_0)</f>
        <v>333.07</v>
      </c>
      <c r="I47" s="1"/>
      <c r="J47" s="5">
        <f t="shared" si="29"/>
        <v>6.1061080880312063E-3</v>
      </c>
      <c r="K47" s="1"/>
      <c r="L47" s="1">
        <f t="shared" si="30"/>
        <v>2130.0699999999997</v>
      </c>
      <c r="M47" s="1"/>
      <c r="N47" s="5">
        <f t="shared" si="31"/>
        <v>6.3952622571831741</v>
      </c>
      <c r="O47" s="14"/>
      <c r="P47" s="1">
        <f>SUM(OSRRefP22_4x_0)</f>
        <v>3473.44</v>
      </c>
      <c r="Q47" s="1"/>
      <c r="R47" s="5">
        <f t="shared" si="32"/>
        <v>6.0074095720070043E-3</v>
      </c>
      <c r="S47" s="1"/>
      <c r="T47" s="1">
        <f>SUM(OSRRefT22_4x_0)</f>
        <v>615.89</v>
      </c>
      <c r="U47" s="1"/>
      <c r="V47" s="5">
        <f t="shared" si="33"/>
        <v>8.2283398029521764E-3</v>
      </c>
      <c r="W47" s="1"/>
      <c r="X47" s="1">
        <f t="shared" si="34"/>
        <v>2857.55</v>
      </c>
      <c r="Y47" s="1"/>
      <c r="Z47" s="5">
        <f t="shared" si="35"/>
        <v>4.6397083894851354</v>
      </c>
    </row>
    <row r="48" spans="1:26" s="24" customFormat="1" hidden="1" outlineLevel="2" x14ac:dyDescent="0.3">
      <c r="A48" s="27"/>
      <c r="B48" s="11" t="str">
        <f>CONCATENATE("          ", "6381", " - ", "BANK/CREDIT CARD FEES")</f>
        <v xml:space="preserve">          6381 - BANK/CREDIT CARD FEES</v>
      </c>
      <c r="C48" s="11"/>
      <c r="D48" s="7">
        <v>2463.14</v>
      </c>
      <c r="E48" s="2"/>
      <c r="F48" s="8">
        <f t="shared" si="28"/>
        <v>4.599675617117948E-3</v>
      </c>
      <c r="G48" s="2"/>
      <c r="H48" s="7">
        <v>333.07</v>
      </c>
      <c r="I48" s="2"/>
      <c r="J48" s="8">
        <f t="shared" si="29"/>
        <v>6.1061080880312063E-3</v>
      </c>
      <c r="K48" s="2"/>
      <c r="L48" s="7">
        <f t="shared" si="30"/>
        <v>2130.0699999999997</v>
      </c>
      <c r="M48" s="2"/>
      <c r="N48" s="8">
        <f t="shared" si="31"/>
        <v>6.3952622571831741</v>
      </c>
      <c r="O48" s="11"/>
      <c r="P48" s="7">
        <v>3473.44</v>
      </c>
      <c r="Q48" s="2"/>
      <c r="R48" s="8">
        <f t="shared" si="32"/>
        <v>6.0074095720070043E-3</v>
      </c>
      <c r="S48" s="2"/>
      <c r="T48" s="7">
        <v>615.89</v>
      </c>
      <c r="U48" s="2"/>
      <c r="V48" s="8">
        <f t="shared" si="33"/>
        <v>8.2283398029521764E-3</v>
      </c>
      <c r="W48" s="2"/>
      <c r="X48" s="7">
        <f t="shared" si="34"/>
        <v>2857.55</v>
      </c>
      <c r="Y48" s="2"/>
      <c r="Z48" s="8">
        <f t="shared" si="35"/>
        <v>4.6397083894851354</v>
      </c>
    </row>
    <row r="49" spans="1:26" s="28" customFormat="1" outlineLevel="1" collapsed="1" x14ac:dyDescent="0.3">
      <c r="A49" s="29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33586.15</v>
      </c>
      <c r="E49" s="1"/>
      <c r="F49" s="5">
        <f t="shared" si="28"/>
        <v>6.2718885336548458E-2</v>
      </c>
      <c r="G49" s="1"/>
      <c r="H49" s="1">
        <f>SUM(OSRRefH22_5x_0)</f>
        <v>38466.019999999997</v>
      </c>
      <c r="I49" s="1"/>
      <c r="J49" s="5">
        <f t="shared" si="29"/>
        <v>0.70519012771000122</v>
      </c>
      <c r="K49" s="1"/>
      <c r="L49" s="1">
        <f t="shared" si="30"/>
        <v>-4879.8699999999953</v>
      </c>
      <c r="M49" s="1"/>
      <c r="N49" s="5">
        <f t="shared" si="31"/>
        <v>-0.1268618380586293</v>
      </c>
      <c r="O49" s="14"/>
      <c r="P49" s="1">
        <f>SUM(OSRRefP22_5x_0)</f>
        <v>67172.3</v>
      </c>
      <c r="Q49" s="1"/>
      <c r="R49" s="5">
        <f t="shared" si="32"/>
        <v>0.11617633181909752</v>
      </c>
      <c r="S49" s="1"/>
      <c r="T49" s="1">
        <f>SUM(OSRRefT22_5x_0)</f>
        <v>76235.05</v>
      </c>
      <c r="U49" s="1"/>
      <c r="V49" s="5">
        <f t="shared" si="33"/>
        <v>1.0185063831123242</v>
      </c>
      <c r="W49" s="1"/>
      <c r="X49" s="1">
        <f t="shared" si="34"/>
        <v>-9062.75</v>
      </c>
      <c r="Y49" s="1"/>
      <c r="Z49" s="5">
        <f t="shared" si="35"/>
        <v>-0.11887904579324077</v>
      </c>
    </row>
    <row r="50" spans="1:26" s="24" customFormat="1" hidden="1" outlineLevel="2" x14ac:dyDescent="0.3">
      <c r="A50" s="27"/>
      <c r="B50" s="11" t="str">
        <f>CONCATENATE("          ", "6321", " - ", "BUILDING DEPRECIATION")</f>
        <v xml:space="preserve">          6321 - BUILDING DEPRECIATION</v>
      </c>
      <c r="C50" s="11"/>
      <c r="D50" s="7">
        <v>23583.47</v>
      </c>
      <c r="E50" s="2"/>
      <c r="F50" s="8">
        <f t="shared" si="28"/>
        <v>4.403984829365469E-2</v>
      </c>
      <c r="G50" s="2"/>
      <c r="H50" s="7">
        <v>23844.89</v>
      </c>
      <c r="I50" s="2"/>
      <c r="J50" s="8">
        <f t="shared" si="29"/>
        <v>0.43714377064044924</v>
      </c>
      <c r="K50" s="2"/>
      <c r="L50" s="7">
        <f t="shared" si="30"/>
        <v>-261.41999999999825</v>
      </c>
      <c r="M50" s="2"/>
      <c r="N50" s="8">
        <f t="shared" si="31"/>
        <v>-1.0963355251376638E-2</v>
      </c>
      <c r="O50" s="11"/>
      <c r="P50" s="7">
        <v>47166.94</v>
      </c>
      <c r="Q50" s="2"/>
      <c r="R50" s="8">
        <f t="shared" si="32"/>
        <v>8.1576514014429516E-2</v>
      </c>
      <c r="S50" s="2"/>
      <c r="T50" s="7">
        <v>47689.78</v>
      </c>
      <c r="U50" s="2"/>
      <c r="V50" s="8">
        <f t="shared" si="33"/>
        <v>0.63713928618427418</v>
      </c>
      <c r="W50" s="2"/>
      <c r="X50" s="7">
        <f t="shared" si="34"/>
        <v>-522.83999999999651</v>
      </c>
      <c r="Y50" s="2"/>
      <c r="Z50" s="8">
        <f t="shared" si="35"/>
        <v>-1.0963355251376638E-2</v>
      </c>
    </row>
    <row r="51" spans="1:26" s="24" customFormat="1" hidden="1" outlineLevel="2" x14ac:dyDescent="0.3">
      <c r="A51" s="27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10002.68</v>
      </c>
      <c r="E51" s="2"/>
      <c r="F51" s="8">
        <f t="shared" si="28"/>
        <v>1.8679037042893767E-2</v>
      </c>
      <c r="G51" s="2"/>
      <c r="H51" s="7">
        <v>14621.13</v>
      </c>
      <c r="I51" s="2"/>
      <c r="J51" s="8">
        <f t="shared" si="29"/>
        <v>0.26804635706955204</v>
      </c>
      <c r="K51" s="2"/>
      <c r="L51" s="7">
        <f t="shared" si="30"/>
        <v>-4618.4499999999989</v>
      </c>
      <c r="M51" s="2"/>
      <c r="N51" s="8">
        <f t="shared" si="31"/>
        <v>-0.31587503838622588</v>
      </c>
      <c r="O51" s="11"/>
      <c r="P51" s="7">
        <v>20005.36</v>
      </c>
      <c r="Q51" s="2"/>
      <c r="R51" s="8">
        <f t="shared" si="32"/>
        <v>3.4599817804668011E-2</v>
      </c>
      <c r="S51" s="2"/>
      <c r="T51" s="7">
        <v>28545.27</v>
      </c>
      <c r="U51" s="2"/>
      <c r="V51" s="8">
        <f t="shared" si="33"/>
        <v>0.38136709692804993</v>
      </c>
      <c r="W51" s="2"/>
      <c r="X51" s="7">
        <f t="shared" si="34"/>
        <v>-8539.91</v>
      </c>
      <c r="Y51" s="2"/>
      <c r="Z51" s="8">
        <f t="shared" si="35"/>
        <v>-0.29917075578545937</v>
      </c>
    </row>
    <row r="52" spans="1:26" s="28" customFormat="1" outlineLevel="1" collapsed="1" x14ac:dyDescent="0.3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4261.5600000000004</v>
      </c>
      <c r="E52" s="1"/>
      <c r="F52" s="5">
        <f t="shared" ref="F52:F71" si="36">IF(D$12=0,0,D52/D$12)</f>
        <v>7.9580509523961944E-3</v>
      </c>
      <c r="G52" s="1"/>
      <c r="H52" s="1">
        <f>SUM(OSRRefH22_6x_0)</f>
        <v>2222.02</v>
      </c>
      <c r="I52" s="1"/>
      <c r="J52" s="5">
        <f t="shared" ref="J52:J71" si="37">IF(H$12=0,0,H52/H$12)</f>
        <v>4.0735864214030387E-2</v>
      </c>
      <c r="K52" s="1"/>
      <c r="L52" s="1">
        <f t="shared" ref="L52:L71" si="38">+D52-H52</f>
        <v>2039.5400000000004</v>
      </c>
      <c r="M52" s="1"/>
      <c r="N52" s="5">
        <f t="shared" ref="N52:N71" si="39">IF(H52=0,0,L52/H52)</f>
        <v>0.91787652676393572</v>
      </c>
      <c r="O52" s="14"/>
      <c r="P52" s="1">
        <f>SUM(OSRRefP22_6x_0)</f>
        <v>4261.5600000000004</v>
      </c>
      <c r="Q52" s="1"/>
      <c r="R52" s="5">
        <f t="shared" ref="R52:R71" si="40">IF(P$12=0,0,P52/P$12)</f>
        <v>7.3704846882865892E-3</v>
      </c>
      <c r="S52" s="1"/>
      <c r="T52" s="1">
        <f>SUM(OSRRefT22_6x_0)</f>
        <v>2222.02</v>
      </c>
      <c r="U52" s="1"/>
      <c r="V52" s="5">
        <f t="shared" ref="V52:V71" si="41">IF(T$12=0,0,T52/T$12)</f>
        <v>2.9686365436938082E-2</v>
      </c>
      <c r="W52" s="1"/>
      <c r="X52" s="1">
        <f t="shared" ref="X52:X71" si="42">+P52-T52</f>
        <v>2039.5400000000004</v>
      </c>
      <c r="Y52" s="1"/>
      <c r="Z52" s="5">
        <f t="shared" ref="Z52:Z71" si="43">IF(T52=0,0,X52/T52)</f>
        <v>0.91787652676393572</v>
      </c>
    </row>
    <row r="53" spans="1:26" s="24" customFormat="1" hidden="1" outlineLevel="2" x14ac:dyDescent="0.3">
      <c r="A53" s="27"/>
      <c r="B53" s="11" t="str">
        <f>CONCATENATE("          ", "6399", " - ", "DONATION-ON CAMPUS")</f>
        <v xml:space="preserve">          6399 - DONATION-ON CAMPUS</v>
      </c>
      <c r="C53" s="11"/>
      <c r="D53" s="7">
        <v>4261.5600000000004</v>
      </c>
      <c r="E53" s="2"/>
      <c r="F53" s="8">
        <f t="shared" si="36"/>
        <v>7.9580509523961944E-3</v>
      </c>
      <c r="G53" s="2"/>
      <c r="H53" s="7">
        <v>2222.02</v>
      </c>
      <c r="I53" s="2"/>
      <c r="J53" s="8">
        <f t="shared" si="37"/>
        <v>4.0735864214030387E-2</v>
      </c>
      <c r="K53" s="2"/>
      <c r="L53" s="7">
        <f t="shared" si="38"/>
        <v>2039.5400000000004</v>
      </c>
      <c r="M53" s="2"/>
      <c r="N53" s="8">
        <f t="shared" si="39"/>
        <v>0.91787652676393572</v>
      </c>
      <c r="O53" s="11"/>
      <c r="P53" s="7">
        <v>4261.5600000000004</v>
      </c>
      <c r="Q53" s="2"/>
      <c r="R53" s="8">
        <f t="shared" si="40"/>
        <v>7.3704846882865892E-3</v>
      </c>
      <c r="S53" s="2"/>
      <c r="T53" s="7">
        <v>2222.02</v>
      </c>
      <c r="U53" s="2"/>
      <c r="V53" s="8">
        <f t="shared" si="41"/>
        <v>2.9686365436938082E-2</v>
      </c>
      <c r="W53" s="2"/>
      <c r="X53" s="7">
        <f t="shared" si="42"/>
        <v>2039.5400000000004</v>
      </c>
      <c r="Y53" s="2"/>
      <c r="Z53" s="8">
        <f t="shared" si="43"/>
        <v>0.91787652676393572</v>
      </c>
    </row>
    <row r="54" spans="1:26" s="28" customFormat="1" outlineLevel="1" collapsed="1" x14ac:dyDescent="0.3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18</v>
      </c>
      <c r="E54" s="1"/>
      <c r="F54" s="5">
        <f t="shared" si="36"/>
        <v>3.3613258323977957E-5</v>
      </c>
      <c r="G54" s="1"/>
      <c r="H54" s="1">
        <f>SUM(OSRRefH22_7x_0)</f>
        <v>0</v>
      </c>
      <c r="I54" s="1"/>
      <c r="J54" s="5">
        <f t="shared" si="37"/>
        <v>0</v>
      </c>
      <c r="K54" s="1"/>
      <c r="L54" s="1">
        <f t="shared" si="38"/>
        <v>18</v>
      </c>
      <c r="M54" s="1"/>
      <c r="N54" s="5">
        <f t="shared" si="39"/>
        <v>0</v>
      </c>
      <c r="O54" s="14"/>
      <c r="P54" s="1">
        <f>SUM(OSRRefP22_7x_0)</f>
        <v>18</v>
      </c>
      <c r="Q54" s="1"/>
      <c r="R54" s="5">
        <f t="shared" si="40"/>
        <v>3.1131492784135055E-5</v>
      </c>
      <c r="S54" s="1"/>
      <c r="T54" s="1">
        <f>SUM(OSRRefT22_7x_0)</f>
        <v>0</v>
      </c>
      <c r="U54" s="1"/>
      <c r="V54" s="5">
        <f t="shared" si="41"/>
        <v>0</v>
      </c>
      <c r="W54" s="1"/>
      <c r="X54" s="1">
        <f t="shared" si="42"/>
        <v>18</v>
      </c>
      <c r="Y54" s="1"/>
      <c r="Z54" s="5">
        <f t="shared" si="43"/>
        <v>0</v>
      </c>
    </row>
    <row r="55" spans="1:26" s="24" customFormat="1" hidden="1" outlineLevel="2" x14ac:dyDescent="0.3">
      <c r="A55" s="27"/>
      <c r="B55" s="11" t="str">
        <f>CONCATENATE("          ", "6277", " - ", "EMPLOYEE APPRECIATION")</f>
        <v xml:space="preserve">          6277 - EMPLOYEE APPRECIATION</v>
      </c>
      <c r="C55" s="11"/>
      <c r="D55" s="7">
        <v>18</v>
      </c>
      <c r="E55" s="2"/>
      <c r="F55" s="8">
        <f t="shared" si="36"/>
        <v>3.3613258323977957E-5</v>
      </c>
      <c r="G55" s="2"/>
      <c r="H55" s="7"/>
      <c r="I55" s="2"/>
      <c r="J55" s="8">
        <f t="shared" si="37"/>
        <v>0</v>
      </c>
      <c r="K55" s="2"/>
      <c r="L55" s="7">
        <f t="shared" si="38"/>
        <v>18</v>
      </c>
      <c r="M55" s="2"/>
      <c r="N55" s="8">
        <f t="shared" si="39"/>
        <v>0</v>
      </c>
      <c r="O55" s="11"/>
      <c r="P55" s="7">
        <v>18</v>
      </c>
      <c r="Q55" s="2"/>
      <c r="R55" s="8">
        <f t="shared" si="40"/>
        <v>3.1131492784135055E-5</v>
      </c>
      <c r="S55" s="2"/>
      <c r="T55" s="7"/>
      <c r="U55" s="2"/>
      <c r="V55" s="8">
        <f t="shared" si="41"/>
        <v>0</v>
      </c>
      <c r="W55" s="2"/>
      <c r="X55" s="7">
        <f t="shared" si="42"/>
        <v>18</v>
      </c>
      <c r="Y55" s="2"/>
      <c r="Z55" s="8">
        <f t="shared" si="43"/>
        <v>0</v>
      </c>
    </row>
    <row r="56" spans="1:26" s="28" customFormat="1" outlineLevel="1" collapsed="1" x14ac:dyDescent="0.3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5272.12</v>
      </c>
      <c r="E56" s="1"/>
      <c r="F56" s="5">
        <f t="shared" si="36"/>
        <v>9.8451739708339259E-3</v>
      </c>
      <c r="G56" s="1"/>
      <c r="H56" s="1">
        <f>SUM(OSRRefH22_8x_0)</f>
        <v>839.01</v>
      </c>
      <c r="I56" s="1"/>
      <c r="J56" s="5">
        <f t="shared" si="37"/>
        <v>1.5381408553574512E-2</v>
      </c>
      <c r="K56" s="1"/>
      <c r="L56" s="1">
        <f t="shared" si="38"/>
        <v>4433.1099999999997</v>
      </c>
      <c r="M56" s="1"/>
      <c r="N56" s="5">
        <f t="shared" si="39"/>
        <v>5.2837391687822546</v>
      </c>
      <c r="O56" s="14"/>
      <c r="P56" s="1">
        <f>SUM(OSRRefP22_8x_0)</f>
        <v>6597.58</v>
      </c>
      <c r="Q56" s="1"/>
      <c r="R56" s="5">
        <f t="shared" si="40"/>
        <v>1.1410695231264098E-2</v>
      </c>
      <c r="S56" s="1"/>
      <c r="T56" s="1">
        <f>SUM(OSRRefT22_8x_0)</f>
        <v>2089.5100000000002</v>
      </c>
      <c r="U56" s="1"/>
      <c r="V56" s="5">
        <f t="shared" si="41"/>
        <v>2.7916021207791332E-2</v>
      </c>
      <c r="W56" s="1"/>
      <c r="X56" s="1">
        <f t="shared" si="42"/>
        <v>4508.07</v>
      </c>
      <c r="Y56" s="1"/>
      <c r="Z56" s="5">
        <f t="shared" si="43"/>
        <v>2.1574771118587606</v>
      </c>
    </row>
    <row r="57" spans="1:26" s="24" customFormat="1" hidden="1" outlineLevel="2" x14ac:dyDescent="0.3">
      <c r="A57" s="27"/>
      <c r="B57" s="11" t="str">
        <f>CONCATENATE("          ", "6351", " - ", "EQUIPMENT RENTAL")</f>
        <v xml:space="preserve">          6351 - EQUIPMENT RENTAL</v>
      </c>
      <c r="C57" s="11"/>
      <c r="D57" s="7">
        <v>5272.12</v>
      </c>
      <c r="E57" s="2"/>
      <c r="F57" s="8">
        <f t="shared" si="36"/>
        <v>9.8451739708339259E-3</v>
      </c>
      <c r="G57" s="2"/>
      <c r="H57" s="7">
        <v>839.01</v>
      </c>
      <c r="I57" s="2"/>
      <c r="J57" s="8">
        <f t="shared" si="37"/>
        <v>1.5381408553574512E-2</v>
      </c>
      <c r="K57" s="2"/>
      <c r="L57" s="7">
        <f t="shared" si="38"/>
        <v>4433.1099999999997</v>
      </c>
      <c r="M57" s="2"/>
      <c r="N57" s="8">
        <f t="shared" si="39"/>
        <v>5.2837391687822546</v>
      </c>
      <c r="O57" s="11"/>
      <c r="P57" s="7">
        <v>6597.58</v>
      </c>
      <c r="Q57" s="2"/>
      <c r="R57" s="8">
        <f t="shared" si="40"/>
        <v>1.1410695231264098E-2</v>
      </c>
      <c r="S57" s="2"/>
      <c r="T57" s="7">
        <v>2089.5100000000002</v>
      </c>
      <c r="U57" s="2"/>
      <c r="V57" s="8">
        <f t="shared" si="41"/>
        <v>2.7916021207791332E-2</v>
      </c>
      <c r="W57" s="2"/>
      <c r="X57" s="7">
        <f t="shared" si="42"/>
        <v>4508.07</v>
      </c>
      <c r="Y57" s="2"/>
      <c r="Z57" s="8">
        <f t="shared" si="43"/>
        <v>2.1574771118587606</v>
      </c>
    </row>
    <row r="58" spans="1:26" s="28" customFormat="1" outlineLevel="1" collapsed="1" x14ac:dyDescent="0.3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17430.580000000002</v>
      </c>
      <c r="E58" s="1"/>
      <c r="F58" s="5">
        <f t="shared" si="36"/>
        <v>3.2549921570931319E-2</v>
      </c>
      <c r="G58" s="1"/>
      <c r="H58" s="1">
        <f>SUM(OSRRefH22_9x_0)</f>
        <v>-1026.6199999999999</v>
      </c>
      <c r="I58" s="1"/>
      <c r="J58" s="5">
        <f t="shared" si="37"/>
        <v>-1.8820826508945857E-2</v>
      </c>
      <c r="K58" s="1"/>
      <c r="L58" s="1">
        <f t="shared" si="38"/>
        <v>18457.2</v>
      </c>
      <c r="M58" s="1"/>
      <c r="N58" s="5">
        <f t="shared" si="39"/>
        <v>-17.97860941731118</v>
      </c>
      <c r="O58" s="14"/>
      <c r="P58" s="1">
        <f>SUM(OSRRefP22_9x_0)</f>
        <v>17924.310000000001</v>
      </c>
      <c r="Q58" s="1"/>
      <c r="R58" s="5">
        <f t="shared" si="40"/>
        <v>3.1000584856977771E-2</v>
      </c>
      <c r="S58" s="1"/>
      <c r="T58" s="1">
        <f>SUM(OSRRefT22_9x_0)</f>
        <v>9595.23</v>
      </c>
      <c r="U58" s="1"/>
      <c r="V58" s="5">
        <f t="shared" si="41"/>
        <v>0.12819304247102697</v>
      </c>
      <c r="W58" s="1"/>
      <c r="X58" s="1">
        <f t="shared" si="42"/>
        <v>8329.0800000000017</v>
      </c>
      <c r="Y58" s="1"/>
      <c r="Z58" s="5">
        <f t="shared" si="43"/>
        <v>0.86804380926773017</v>
      </c>
    </row>
    <row r="59" spans="1:26" s="24" customFormat="1" hidden="1" outlineLevel="2" x14ac:dyDescent="0.3">
      <c r="A59" s="27"/>
      <c r="B59" s="11" t="str">
        <f>CONCATENATE("          ", "6279", " - ", "GENERAL EXPENSE")</f>
        <v xml:space="preserve">          6279 - GENERAL EXPENSE</v>
      </c>
      <c r="C59" s="11"/>
      <c r="D59" s="7">
        <v>17430.580000000002</v>
      </c>
      <c r="E59" s="2"/>
      <c r="F59" s="8">
        <f t="shared" si="36"/>
        <v>3.2549921570931319E-2</v>
      </c>
      <c r="G59" s="2"/>
      <c r="H59" s="7">
        <v>-1026.6199999999999</v>
      </c>
      <c r="I59" s="2"/>
      <c r="J59" s="8">
        <f t="shared" si="37"/>
        <v>-1.8820826508945857E-2</v>
      </c>
      <c r="K59" s="2"/>
      <c r="L59" s="7">
        <f t="shared" si="38"/>
        <v>18457.2</v>
      </c>
      <c r="M59" s="2"/>
      <c r="N59" s="8">
        <f t="shared" si="39"/>
        <v>-17.97860941731118</v>
      </c>
      <c r="O59" s="11"/>
      <c r="P59" s="7">
        <v>17924.310000000001</v>
      </c>
      <c r="Q59" s="2"/>
      <c r="R59" s="8">
        <f t="shared" si="40"/>
        <v>3.1000584856977771E-2</v>
      </c>
      <c r="S59" s="2"/>
      <c r="T59" s="7">
        <v>9595.23</v>
      </c>
      <c r="U59" s="2"/>
      <c r="V59" s="8">
        <f t="shared" si="41"/>
        <v>0.12819304247102697</v>
      </c>
      <c r="W59" s="2"/>
      <c r="X59" s="7">
        <f t="shared" si="42"/>
        <v>8329.0800000000017</v>
      </c>
      <c r="Y59" s="2"/>
      <c r="Z59" s="8">
        <f t="shared" si="43"/>
        <v>0.86804380926773017</v>
      </c>
    </row>
    <row r="60" spans="1:26" s="28" customFormat="1" outlineLevel="1" collapsed="1" x14ac:dyDescent="0.3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5761.42</v>
      </c>
      <c r="E60" s="1"/>
      <c r="F60" s="5">
        <f t="shared" si="36"/>
        <v>1.075889437627406E-2</v>
      </c>
      <c r="G60" s="1"/>
      <c r="H60" s="1">
        <f>SUM(OSRRefH22_10x_0)</f>
        <v>4246.03</v>
      </c>
      <c r="I60" s="1"/>
      <c r="J60" s="5">
        <f t="shared" si="37"/>
        <v>7.7841649277999039E-2</v>
      </c>
      <c r="K60" s="1"/>
      <c r="L60" s="1">
        <f t="shared" si="38"/>
        <v>1515.3900000000003</v>
      </c>
      <c r="M60" s="1"/>
      <c r="N60" s="5">
        <f t="shared" si="39"/>
        <v>0.35689573554591003</v>
      </c>
      <c r="O60" s="14"/>
      <c r="P60" s="1">
        <f>SUM(OSRRefP22_10x_0)</f>
        <v>11522.85</v>
      </c>
      <c r="Q60" s="1"/>
      <c r="R60" s="5">
        <f t="shared" si="40"/>
        <v>1.9929084534870592E-2</v>
      </c>
      <c r="S60" s="1"/>
      <c r="T60" s="1">
        <f>SUM(OSRRefT22_10x_0)</f>
        <v>8492.06</v>
      </c>
      <c r="U60" s="1"/>
      <c r="V60" s="5">
        <f t="shared" si="41"/>
        <v>0.11345460278143508</v>
      </c>
      <c r="W60" s="1"/>
      <c r="X60" s="1">
        <f t="shared" si="42"/>
        <v>3030.7900000000009</v>
      </c>
      <c r="Y60" s="1"/>
      <c r="Z60" s="5">
        <f t="shared" si="43"/>
        <v>0.35689691311648775</v>
      </c>
    </row>
    <row r="61" spans="1:26" s="24" customFormat="1" hidden="1" outlineLevel="2" x14ac:dyDescent="0.3">
      <c r="A61" s="27"/>
      <c r="B61" s="11" t="str">
        <f>CONCATENATE("          ", "6314", " - ", "LIABILITY INSURANCE")</f>
        <v xml:space="preserve">          6314 - LIABILITY INSURANCE</v>
      </c>
      <c r="C61" s="11"/>
      <c r="D61" s="7">
        <v>5761.42</v>
      </c>
      <c r="E61" s="2"/>
      <c r="F61" s="8">
        <f t="shared" si="36"/>
        <v>1.075889437627406E-2</v>
      </c>
      <c r="G61" s="2"/>
      <c r="H61" s="7">
        <v>4246.03</v>
      </c>
      <c r="I61" s="2"/>
      <c r="J61" s="8">
        <f t="shared" si="37"/>
        <v>7.7841649277999039E-2</v>
      </c>
      <c r="K61" s="2"/>
      <c r="L61" s="7">
        <f t="shared" si="38"/>
        <v>1515.3900000000003</v>
      </c>
      <c r="M61" s="2"/>
      <c r="N61" s="8">
        <f t="shared" si="39"/>
        <v>0.35689573554591003</v>
      </c>
      <c r="O61" s="11"/>
      <c r="P61" s="7">
        <v>11522.85</v>
      </c>
      <c r="Q61" s="2"/>
      <c r="R61" s="8">
        <f t="shared" si="40"/>
        <v>1.9929084534870592E-2</v>
      </c>
      <c r="S61" s="2"/>
      <c r="T61" s="7">
        <v>8492.06</v>
      </c>
      <c r="U61" s="2"/>
      <c r="V61" s="8">
        <f t="shared" si="41"/>
        <v>0.11345460278143508</v>
      </c>
      <c r="W61" s="2"/>
      <c r="X61" s="7">
        <f t="shared" si="42"/>
        <v>3030.7900000000009</v>
      </c>
      <c r="Y61" s="2"/>
      <c r="Z61" s="8">
        <f t="shared" si="43"/>
        <v>0.35689691311648775</v>
      </c>
    </row>
    <row r="62" spans="1:26" s="28" customFormat="1" outlineLevel="1" collapsed="1" x14ac:dyDescent="0.3">
      <c r="A62" s="29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SUM(OSRRefD22_11x_0)</f>
        <v>7253</v>
      </c>
      <c r="E62" s="1"/>
      <c r="F62" s="5">
        <f t="shared" si="36"/>
        <v>1.3544275701322895E-2</v>
      </c>
      <c r="G62" s="1"/>
      <c r="H62" s="1">
        <f>SUM(OSRRefH22_11x_0)</f>
        <v>7510</v>
      </c>
      <c r="I62" s="1"/>
      <c r="J62" s="5">
        <f t="shared" si="37"/>
        <v>0.13767938193507179</v>
      </c>
      <c r="K62" s="1"/>
      <c r="L62" s="1">
        <f t="shared" si="38"/>
        <v>-257</v>
      </c>
      <c r="M62" s="1"/>
      <c r="N62" s="5">
        <f t="shared" si="39"/>
        <v>-3.4221038615179764E-2</v>
      </c>
      <c r="O62" s="14"/>
      <c r="P62" s="1">
        <f>SUM(OSRRefP22_11x_0)</f>
        <v>14506</v>
      </c>
      <c r="Q62" s="1"/>
      <c r="R62" s="5">
        <f t="shared" si="40"/>
        <v>2.5088524129259063E-2</v>
      </c>
      <c r="S62" s="1"/>
      <c r="T62" s="1">
        <f>SUM(OSRRefT22_11x_0)</f>
        <v>15020</v>
      </c>
      <c r="U62" s="1"/>
      <c r="V62" s="5">
        <f t="shared" si="41"/>
        <v>0.20066840481310247</v>
      </c>
      <c r="W62" s="1"/>
      <c r="X62" s="1">
        <f t="shared" si="42"/>
        <v>-514</v>
      </c>
      <c r="Y62" s="1"/>
      <c r="Z62" s="5">
        <f t="shared" si="43"/>
        <v>-3.4221038615179764E-2</v>
      </c>
    </row>
    <row r="63" spans="1:26" s="24" customFormat="1" hidden="1" outlineLevel="2" x14ac:dyDescent="0.3">
      <c r="A63" s="27"/>
      <c r="B63" s="11" t="str">
        <f>CONCATENATE("          ", "6401", " - ", "INTEREST EXPENSE")</f>
        <v xml:space="preserve">          6401 - INTEREST EXPENSE</v>
      </c>
      <c r="C63" s="11"/>
      <c r="D63" s="7">
        <v>7253</v>
      </c>
      <c r="E63" s="2"/>
      <c r="F63" s="8">
        <f t="shared" si="36"/>
        <v>1.3544275701322895E-2</v>
      </c>
      <c r="G63" s="2"/>
      <c r="H63" s="7">
        <v>7510</v>
      </c>
      <c r="I63" s="2"/>
      <c r="J63" s="8">
        <f t="shared" si="37"/>
        <v>0.13767938193507179</v>
      </c>
      <c r="K63" s="2"/>
      <c r="L63" s="7">
        <f t="shared" si="38"/>
        <v>-257</v>
      </c>
      <c r="M63" s="2"/>
      <c r="N63" s="8">
        <f t="shared" si="39"/>
        <v>-3.4221038615179764E-2</v>
      </c>
      <c r="O63" s="11"/>
      <c r="P63" s="7">
        <v>14506</v>
      </c>
      <c r="Q63" s="2"/>
      <c r="R63" s="8">
        <f t="shared" si="40"/>
        <v>2.5088524129259063E-2</v>
      </c>
      <c r="S63" s="2"/>
      <c r="T63" s="7">
        <v>15020</v>
      </c>
      <c r="U63" s="2"/>
      <c r="V63" s="8">
        <f t="shared" si="41"/>
        <v>0.20066840481310247</v>
      </c>
      <c r="W63" s="2"/>
      <c r="X63" s="7">
        <f t="shared" si="42"/>
        <v>-514</v>
      </c>
      <c r="Y63" s="2"/>
      <c r="Z63" s="8">
        <f t="shared" si="43"/>
        <v>-3.4221038615179764E-2</v>
      </c>
    </row>
    <row r="64" spans="1:26" s="28" customFormat="1" outlineLevel="1" collapsed="1" x14ac:dyDescent="0.3">
      <c r="A64" s="29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SUM(OSRRefD22_12x_0)</f>
        <v>38588</v>
      </c>
      <c r="E64" s="1"/>
      <c r="F64" s="5">
        <f t="shared" si="36"/>
        <v>7.2059356233647856E-2</v>
      </c>
      <c r="G64" s="1"/>
      <c r="H64" s="1">
        <f>SUM(OSRRefH22_12x_0)</f>
        <v>3533.81</v>
      </c>
      <c r="I64" s="1"/>
      <c r="J64" s="5">
        <f t="shared" si="37"/>
        <v>6.4784657347000799E-2</v>
      </c>
      <c r="K64" s="1"/>
      <c r="L64" s="1">
        <f t="shared" si="38"/>
        <v>35054.19</v>
      </c>
      <c r="M64" s="1"/>
      <c r="N64" s="5">
        <f t="shared" si="39"/>
        <v>9.919658951669728</v>
      </c>
      <c r="O64" s="14"/>
      <c r="P64" s="1">
        <f>SUM(OSRRefP22_12x_0)</f>
        <v>40156</v>
      </c>
      <c r="Q64" s="1"/>
      <c r="R64" s="5">
        <f t="shared" si="40"/>
        <v>6.9450901346651522E-2</v>
      </c>
      <c r="S64" s="1"/>
      <c r="T64" s="1">
        <f>SUM(OSRRefT22_12x_0)</f>
        <v>4685.49</v>
      </c>
      <c r="U64" s="1"/>
      <c r="V64" s="5">
        <f t="shared" si="41"/>
        <v>6.2598522241527524E-2</v>
      </c>
      <c r="W64" s="1"/>
      <c r="X64" s="1">
        <f t="shared" si="42"/>
        <v>35470.51</v>
      </c>
      <c r="Y64" s="1"/>
      <c r="Z64" s="5">
        <f t="shared" si="43"/>
        <v>7.5702882729447731</v>
      </c>
    </row>
    <row r="65" spans="1:26" s="24" customFormat="1" hidden="1" outlineLevel="2" x14ac:dyDescent="0.3">
      <c r="A65" s="27"/>
      <c r="B65" s="11" t="str">
        <f>CONCATENATE("          ", "6387", " - ", "COMMISSION DUE HOUSING")</f>
        <v xml:space="preserve">          6387 - COMMISSION DUE HOUSING</v>
      </c>
      <c r="C65" s="11"/>
      <c r="D65" s="7">
        <v>38588</v>
      </c>
      <c r="E65" s="2"/>
      <c r="F65" s="8">
        <f t="shared" si="36"/>
        <v>7.2059356233647856E-2</v>
      </c>
      <c r="G65" s="2"/>
      <c r="H65" s="7">
        <v>3533.81</v>
      </c>
      <c r="I65" s="2"/>
      <c r="J65" s="8">
        <f t="shared" si="37"/>
        <v>6.4784657347000799E-2</v>
      </c>
      <c r="K65" s="2"/>
      <c r="L65" s="7">
        <f t="shared" si="38"/>
        <v>35054.19</v>
      </c>
      <c r="M65" s="2"/>
      <c r="N65" s="8">
        <f t="shared" si="39"/>
        <v>9.919658951669728</v>
      </c>
      <c r="O65" s="11"/>
      <c r="P65" s="7">
        <v>40156</v>
      </c>
      <c r="Q65" s="2"/>
      <c r="R65" s="8">
        <f t="shared" si="40"/>
        <v>6.9450901346651522E-2</v>
      </c>
      <c r="S65" s="2"/>
      <c r="T65" s="7">
        <v>4685.49</v>
      </c>
      <c r="U65" s="2"/>
      <c r="V65" s="8">
        <f t="shared" si="41"/>
        <v>6.2598522241527524E-2</v>
      </c>
      <c r="W65" s="2"/>
      <c r="X65" s="7">
        <f t="shared" si="42"/>
        <v>35470.51</v>
      </c>
      <c r="Y65" s="2"/>
      <c r="Z65" s="8">
        <f t="shared" si="43"/>
        <v>7.5702882729447731</v>
      </c>
    </row>
    <row r="66" spans="1:26" s="28" customFormat="1" outlineLevel="1" collapsed="1" x14ac:dyDescent="0.3">
      <c r="A66" s="29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SUM(OSRRefD22_13x_0)</f>
        <v>1850</v>
      </c>
      <c r="E66" s="1"/>
      <c r="F66" s="5">
        <f t="shared" si="36"/>
        <v>3.4546959944088454E-3</v>
      </c>
      <c r="G66" s="1"/>
      <c r="H66" s="1">
        <f>SUM(OSRRefH22_13x_0)</f>
        <v>0</v>
      </c>
      <c r="I66" s="1"/>
      <c r="J66" s="5">
        <f t="shared" si="37"/>
        <v>0</v>
      </c>
      <c r="K66" s="1"/>
      <c r="L66" s="1">
        <f t="shared" si="38"/>
        <v>1850</v>
      </c>
      <c r="M66" s="1"/>
      <c r="N66" s="5">
        <f t="shared" si="39"/>
        <v>0</v>
      </c>
      <c r="O66" s="14"/>
      <c r="P66" s="1">
        <f>SUM(OSRRefP22_13x_0)</f>
        <v>3700</v>
      </c>
      <c r="Q66" s="1"/>
      <c r="R66" s="5">
        <f t="shared" si="40"/>
        <v>6.3992512945166505E-3</v>
      </c>
      <c r="S66" s="1"/>
      <c r="T66" s="1">
        <f>SUM(OSRRefT22_13x_0)</f>
        <v>0</v>
      </c>
      <c r="U66" s="1"/>
      <c r="V66" s="5">
        <f t="shared" si="41"/>
        <v>0</v>
      </c>
      <c r="W66" s="1"/>
      <c r="X66" s="1">
        <f t="shared" si="42"/>
        <v>3700</v>
      </c>
      <c r="Y66" s="1"/>
      <c r="Z66" s="5">
        <f t="shared" si="43"/>
        <v>0</v>
      </c>
    </row>
    <row r="67" spans="1:26" s="24" customFormat="1" hidden="1" outlineLevel="2" x14ac:dyDescent="0.3">
      <c r="A67" s="27"/>
      <c r="B67" s="11" t="str">
        <f>CONCATENATE("          ", "6273", " - ", "RENT")</f>
        <v xml:space="preserve">          6273 - RENT</v>
      </c>
      <c r="C67" s="11"/>
      <c r="D67" s="7">
        <v>1850</v>
      </c>
      <c r="E67" s="2"/>
      <c r="F67" s="8">
        <f t="shared" si="36"/>
        <v>3.4546959944088454E-3</v>
      </c>
      <c r="G67" s="2"/>
      <c r="H67" s="7"/>
      <c r="I67" s="2"/>
      <c r="J67" s="8">
        <f t="shared" si="37"/>
        <v>0</v>
      </c>
      <c r="K67" s="2"/>
      <c r="L67" s="7">
        <f t="shared" si="38"/>
        <v>1850</v>
      </c>
      <c r="M67" s="2"/>
      <c r="N67" s="8">
        <f t="shared" si="39"/>
        <v>0</v>
      </c>
      <c r="O67" s="11"/>
      <c r="P67" s="7">
        <v>3700</v>
      </c>
      <c r="Q67" s="2"/>
      <c r="R67" s="8">
        <f t="shared" si="40"/>
        <v>6.3992512945166505E-3</v>
      </c>
      <c r="S67" s="2"/>
      <c r="T67" s="7"/>
      <c r="U67" s="2"/>
      <c r="V67" s="8">
        <f t="shared" si="41"/>
        <v>0</v>
      </c>
      <c r="W67" s="2"/>
      <c r="X67" s="7">
        <f t="shared" si="42"/>
        <v>3700</v>
      </c>
      <c r="Y67" s="2"/>
      <c r="Z67" s="8">
        <f t="shared" si="43"/>
        <v>0</v>
      </c>
    </row>
    <row r="68" spans="1:26" s="28" customFormat="1" outlineLevel="1" collapsed="1" x14ac:dyDescent="0.3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SUM(OSRRefD22_14x_0)</f>
        <v>26035.839999999997</v>
      </c>
      <c r="E68" s="1"/>
      <c r="F68" s="5">
        <f t="shared" si="36"/>
        <v>4.8619411977875449E-2</v>
      </c>
      <c r="G68" s="1"/>
      <c r="H68" s="1">
        <f>SUM(OSRRefH22_14x_0)</f>
        <v>6762.41</v>
      </c>
      <c r="I68" s="1"/>
      <c r="J68" s="5">
        <f t="shared" si="37"/>
        <v>0.12397395861405443</v>
      </c>
      <c r="K68" s="1"/>
      <c r="L68" s="1">
        <f t="shared" si="38"/>
        <v>19273.429999999997</v>
      </c>
      <c r="M68" s="1"/>
      <c r="N68" s="5">
        <f t="shared" si="39"/>
        <v>2.8500830325283437</v>
      </c>
      <c r="O68" s="14"/>
      <c r="P68" s="1">
        <f>SUM(OSRRefP22_14x_0)</f>
        <v>33296.550000000003</v>
      </c>
      <c r="Q68" s="1"/>
      <c r="R68" s="5">
        <f t="shared" si="40"/>
        <v>5.7587294781199568E-2</v>
      </c>
      <c r="S68" s="1"/>
      <c r="T68" s="1">
        <f>SUM(OSRRefT22_14x_0)</f>
        <v>10874.470000000001</v>
      </c>
      <c r="U68" s="1"/>
      <c r="V68" s="5">
        <f t="shared" si="41"/>
        <v>0.14528379148388407</v>
      </c>
      <c r="W68" s="1"/>
      <c r="X68" s="1">
        <f t="shared" si="42"/>
        <v>22422.080000000002</v>
      </c>
      <c r="Y68" s="1"/>
      <c r="Z68" s="5">
        <f t="shared" si="43"/>
        <v>2.0619009478163073</v>
      </c>
    </row>
    <row r="69" spans="1:26" s="24" customFormat="1" hidden="1" outlineLevel="2" x14ac:dyDescent="0.3">
      <c r="A69" s="27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8677.7199999999993</v>
      </c>
      <c r="E69" s="2"/>
      <c r="F69" s="8">
        <f t="shared" si="36"/>
        <v>1.6204802445730554E-2</v>
      </c>
      <c r="G69" s="2"/>
      <c r="H69" s="7"/>
      <c r="I69" s="2"/>
      <c r="J69" s="8">
        <f t="shared" si="37"/>
        <v>0</v>
      </c>
      <c r="K69" s="2"/>
      <c r="L69" s="7">
        <f t="shared" si="38"/>
        <v>8677.7199999999993</v>
      </c>
      <c r="M69" s="2"/>
      <c r="N69" s="8">
        <f t="shared" si="39"/>
        <v>0</v>
      </c>
      <c r="O69" s="11"/>
      <c r="P69" s="7">
        <v>12177.72</v>
      </c>
      <c r="Q69" s="2"/>
      <c r="R69" s="8">
        <f t="shared" si="40"/>
        <v>2.1061700128178731E-2</v>
      </c>
      <c r="S69" s="2"/>
      <c r="T69" s="7"/>
      <c r="U69" s="2"/>
      <c r="V69" s="8">
        <f t="shared" si="41"/>
        <v>0</v>
      </c>
      <c r="W69" s="2"/>
      <c r="X69" s="7">
        <f t="shared" si="42"/>
        <v>12177.72</v>
      </c>
      <c r="Y69" s="2"/>
      <c r="Z69" s="8">
        <f t="shared" si="43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7"/>
      <c r="E70" s="2"/>
      <c r="F70" s="8">
        <f t="shared" si="36"/>
        <v>0</v>
      </c>
      <c r="G70" s="2"/>
      <c r="H70" s="7">
        <v>4161.01</v>
      </c>
      <c r="I70" s="2"/>
      <c r="J70" s="8">
        <f t="shared" si="37"/>
        <v>7.6282994011405203E-2</v>
      </c>
      <c r="K70" s="2"/>
      <c r="L70" s="7">
        <f t="shared" si="38"/>
        <v>-4161.01</v>
      </c>
      <c r="M70" s="2"/>
      <c r="N70" s="8">
        <f t="shared" si="39"/>
        <v>-1</v>
      </c>
      <c r="O70" s="11"/>
      <c r="P70" s="7">
        <v>14.87</v>
      </c>
      <c r="Q70" s="2"/>
      <c r="R70" s="8">
        <f t="shared" si="40"/>
        <v>2.5718072094449351E-5</v>
      </c>
      <c r="S70" s="2"/>
      <c r="T70" s="7">
        <v>6516.25</v>
      </c>
      <c r="U70" s="2"/>
      <c r="V70" s="8">
        <f t="shared" si="41"/>
        <v>8.7057622693966649E-2</v>
      </c>
      <c r="W70" s="2"/>
      <c r="X70" s="7">
        <f t="shared" si="42"/>
        <v>-6501.38</v>
      </c>
      <c r="Y70" s="2"/>
      <c r="Z70" s="8">
        <f t="shared" si="43"/>
        <v>-0.99771801266065607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17358.12</v>
      </c>
      <c r="E71" s="2"/>
      <c r="F71" s="8">
        <f t="shared" si="36"/>
        <v>3.2414609532144902E-2</v>
      </c>
      <c r="G71" s="2"/>
      <c r="H71" s="7">
        <v>2601.4</v>
      </c>
      <c r="I71" s="2"/>
      <c r="J71" s="8">
        <f t="shared" si="37"/>
        <v>4.7690964602649238E-2</v>
      </c>
      <c r="K71" s="2"/>
      <c r="L71" s="7">
        <f t="shared" si="38"/>
        <v>14756.72</v>
      </c>
      <c r="M71" s="2"/>
      <c r="N71" s="8">
        <f t="shared" si="39"/>
        <v>5.6726070577381407</v>
      </c>
      <c r="O71" s="11"/>
      <c r="P71" s="7">
        <v>21103.96</v>
      </c>
      <c r="Q71" s="2"/>
      <c r="R71" s="8">
        <f t="shared" si="40"/>
        <v>3.6499876580926384E-2</v>
      </c>
      <c r="S71" s="2"/>
      <c r="T71" s="7">
        <v>4358.22</v>
      </c>
      <c r="U71" s="2"/>
      <c r="V71" s="8">
        <f t="shared" si="41"/>
        <v>5.8226168789917411E-2</v>
      </c>
      <c r="W71" s="2"/>
      <c r="X71" s="7">
        <f t="shared" si="42"/>
        <v>16745.739999999998</v>
      </c>
      <c r="Y71" s="2"/>
      <c r="Z71" s="8">
        <f t="shared" si="43"/>
        <v>3.8423347146312019</v>
      </c>
    </row>
    <row r="72" spans="1:26" s="28" customFormat="1" outlineLevel="1" collapsed="1" x14ac:dyDescent="0.3">
      <c r="A72" s="29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SUM(OSRRefD22_15x_0)</f>
        <v>29818.090000000004</v>
      </c>
      <c r="E72" s="1"/>
      <c r="F72" s="5">
        <f t="shared" ref="F72:F76" si="44">IF(D$12=0,0,D72/D$12)</f>
        <v>5.5682397883201333E-2</v>
      </c>
      <c r="G72" s="1"/>
      <c r="H72" s="1">
        <f>SUM(OSRRefH22_15x_0)</f>
        <v>12221.41</v>
      </c>
      <c r="I72" s="1"/>
      <c r="J72" s="5">
        <f t="shared" ref="J72:J76" si="45">IF(H$12=0,0,H72/H$12)</f>
        <v>0.22405275301932165</v>
      </c>
      <c r="K72" s="1"/>
      <c r="L72" s="1">
        <f t="shared" ref="L72:L76" si="46">+D72-H72</f>
        <v>17596.680000000004</v>
      </c>
      <c r="M72" s="1"/>
      <c r="N72" s="5">
        <f t="shared" ref="N72:N76" si="47">IF(H72=0,0,L72/H72)</f>
        <v>1.4398240464889078</v>
      </c>
      <c r="O72" s="14"/>
      <c r="P72" s="1">
        <f>SUM(OSRRefP22_15x_0)</f>
        <v>47486.239999999998</v>
      </c>
      <c r="Q72" s="1"/>
      <c r="R72" s="5">
        <f t="shared" ref="R72:R76" si="48">IF(P$12=0,0,P72/P$12)</f>
        <v>8.2128752105872532E-2</v>
      </c>
      <c r="S72" s="1"/>
      <c r="T72" s="1">
        <f>SUM(OSRRefT22_15x_0)</f>
        <v>24981.279999999999</v>
      </c>
      <c r="U72" s="1"/>
      <c r="V72" s="5">
        <f t="shared" ref="V72:V76" si="49">IF(T$12=0,0,T72/T$12)</f>
        <v>0.33375190464643545</v>
      </c>
      <c r="W72" s="1"/>
      <c r="X72" s="1">
        <f t="shared" ref="X72:X76" si="50">+P72-T72</f>
        <v>22504.959999999999</v>
      </c>
      <c r="Y72" s="1"/>
      <c r="Z72" s="5">
        <f t="shared" ref="Z72:Z76" si="51">IF(T72=0,0,X72/T72)</f>
        <v>0.90087297368269359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1442.99</v>
      </c>
      <c r="E73" s="2"/>
      <c r="F73" s="8">
        <f t="shared" si="44"/>
        <v>2.6946442016064971E-3</v>
      </c>
      <c r="G73" s="2"/>
      <c r="H73" s="7">
        <v>1396.32</v>
      </c>
      <c r="I73" s="2"/>
      <c r="J73" s="8">
        <f t="shared" si="45"/>
        <v>2.5598465324045198E-2</v>
      </c>
      <c r="K73" s="2"/>
      <c r="L73" s="7">
        <f t="shared" si="46"/>
        <v>46.670000000000073</v>
      </c>
      <c r="M73" s="2"/>
      <c r="N73" s="8">
        <f t="shared" si="47"/>
        <v>3.3423570528245725E-2</v>
      </c>
      <c r="O73" s="11"/>
      <c r="P73" s="7">
        <v>3621.59</v>
      </c>
      <c r="Q73" s="2"/>
      <c r="R73" s="8">
        <f t="shared" si="48"/>
        <v>6.2636390528942052E-3</v>
      </c>
      <c r="S73" s="2"/>
      <c r="T73" s="7">
        <v>2904.62</v>
      </c>
      <c r="U73" s="2"/>
      <c r="V73" s="8">
        <f t="shared" si="49"/>
        <v>3.8805956190960965E-2</v>
      </c>
      <c r="W73" s="2"/>
      <c r="X73" s="7">
        <f t="shared" si="50"/>
        <v>716.97000000000025</v>
      </c>
      <c r="Y73" s="2"/>
      <c r="Z73" s="8">
        <f t="shared" si="51"/>
        <v>0.24683779633824743</v>
      </c>
    </row>
    <row r="74" spans="1:26" s="24" customFormat="1" hidden="1" outlineLevel="2" x14ac:dyDescent="0.3">
      <c r="A74" s="27"/>
      <c r="B74" s="11" t="str">
        <f>CONCATENATE("          ", "6284", " - ", "TRASH REMOVAL EXPENSE")</f>
        <v xml:space="preserve">          6284 - TRASH REMOVAL EXPENSE</v>
      </c>
      <c r="C74" s="11"/>
      <c r="D74" s="7"/>
      <c r="E74" s="2"/>
      <c r="F74" s="8">
        <f t="shared" si="44"/>
        <v>0</v>
      </c>
      <c r="G74" s="2"/>
      <c r="H74" s="7">
        <v>1000</v>
      </c>
      <c r="I74" s="2"/>
      <c r="J74" s="8">
        <f t="shared" si="45"/>
        <v>1.8332807181767215E-2</v>
      </c>
      <c r="K74" s="2"/>
      <c r="L74" s="7">
        <f t="shared" si="46"/>
        <v>-1000</v>
      </c>
      <c r="M74" s="2"/>
      <c r="N74" s="8">
        <f t="shared" si="47"/>
        <v>-1</v>
      </c>
      <c r="O74" s="11"/>
      <c r="P74" s="7"/>
      <c r="Q74" s="2"/>
      <c r="R74" s="8">
        <f t="shared" si="48"/>
        <v>0</v>
      </c>
      <c r="S74" s="2"/>
      <c r="T74" s="7">
        <v>2000</v>
      </c>
      <c r="U74" s="2"/>
      <c r="V74" s="8">
        <f t="shared" si="49"/>
        <v>2.6720160427843205E-2</v>
      </c>
      <c r="W74" s="2"/>
      <c r="X74" s="7">
        <f t="shared" si="50"/>
        <v>-2000</v>
      </c>
      <c r="Y74" s="2"/>
      <c r="Z74" s="8">
        <f t="shared" si="51"/>
        <v>-1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7">
        <v>25872.47</v>
      </c>
      <c r="E75" s="2"/>
      <c r="F75" s="8">
        <f t="shared" si="44"/>
        <v>4.8314334310520554E-2</v>
      </c>
      <c r="G75" s="2"/>
      <c r="H75" s="7">
        <v>7312.63</v>
      </c>
      <c r="I75" s="2"/>
      <c r="J75" s="8">
        <f t="shared" si="45"/>
        <v>0.13406103578160639</v>
      </c>
      <c r="K75" s="2"/>
      <c r="L75" s="7">
        <f t="shared" si="46"/>
        <v>18559.84</v>
      </c>
      <c r="M75" s="2"/>
      <c r="N75" s="8">
        <f t="shared" si="47"/>
        <v>2.5380526568416562</v>
      </c>
      <c r="O75" s="11"/>
      <c r="P75" s="7">
        <v>40279.050000000003</v>
      </c>
      <c r="Q75" s="2"/>
      <c r="R75" s="8">
        <f t="shared" si="48"/>
        <v>6.9663719690378628E-2</v>
      </c>
      <c r="S75" s="2"/>
      <c r="T75" s="7">
        <v>15626.73</v>
      </c>
      <c r="U75" s="2"/>
      <c r="V75" s="8">
        <f t="shared" si="49"/>
        <v>0.20877436628129514</v>
      </c>
      <c r="W75" s="2"/>
      <c r="X75" s="7">
        <f t="shared" si="50"/>
        <v>24652.320000000003</v>
      </c>
      <c r="Y75" s="2"/>
      <c r="Z75" s="8">
        <f t="shared" si="51"/>
        <v>1.5775738110276434</v>
      </c>
    </row>
    <row r="76" spans="1:26" s="24" customFormat="1" hidden="1" outlineLevel="2" x14ac:dyDescent="0.3">
      <c r="A76" s="27"/>
      <c r="B76" s="11" t="str">
        <f>CONCATENATE("          ", "6286", " - ", "LAUNDRY EXPENSE")</f>
        <v xml:space="preserve">          6286 - LAUNDRY EXPENSE</v>
      </c>
      <c r="C76" s="11"/>
      <c r="D76" s="7">
        <v>2502.63</v>
      </c>
      <c r="E76" s="2"/>
      <c r="F76" s="8">
        <f t="shared" si="44"/>
        <v>4.6734193710742753E-3</v>
      </c>
      <c r="G76" s="2"/>
      <c r="H76" s="7">
        <v>2512.46</v>
      </c>
      <c r="I76" s="2"/>
      <c r="J76" s="8">
        <f t="shared" si="45"/>
        <v>4.6060444731902857E-2</v>
      </c>
      <c r="K76" s="2"/>
      <c r="L76" s="7">
        <f t="shared" si="46"/>
        <v>-9.8299999999999272</v>
      </c>
      <c r="M76" s="2"/>
      <c r="N76" s="8">
        <f t="shared" si="47"/>
        <v>-3.9125000995040423E-3</v>
      </c>
      <c r="O76" s="11"/>
      <c r="P76" s="7">
        <v>3585.6</v>
      </c>
      <c r="Q76" s="2"/>
      <c r="R76" s="8">
        <f t="shared" si="48"/>
        <v>6.2013933625997032E-3</v>
      </c>
      <c r="S76" s="2"/>
      <c r="T76" s="7">
        <v>4449.93</v>
      </c>
      <c r="U76" s="2"/>
      <c r="V76" s="8">
        <f t="shared" si="49"/>
        <v>5.9451421746336164E-2</v>
      </c>
      <c r="W76" s="2"/>
      <c r="X76" s="7">
        <f t="shared" si="50"/>
        <v>-864.33000000000038</v>
      </c>
      <c r="Y76" s="2"/>
      <c r="Z76" s="8">
        <f t="shared" si="51"/>
        <v>-0.19423451604856712</v>
      </c>
    </row>
    <row r="77" spans="1:26" s="28" customFormat="1" outlineLevel="1" collapsed="1" x14ac:dyDescent="0.3">
      <c r="A77" s="29"/>
      <c r="B77" s="14" t="str">
        <f>CONCATENATE("     ","Subscriptions &amp; Dues                              ")</f>
        <v xml:space="preserve">     Subscriptions &amp; Dues                              </v>
      </c>
      <c r="C77" s="14"/>
      <c r="D77" s="1">
        <f>SUM(OSRRefD22_16x_0)</f>
        <v>593.59</v>
      </c>
      <c r="E77" s="1"/>
      <c r="F77" s="5">
        <f t="shared" ref="F77:F87" si="52">IF(D$12=0,0,D77/D$12)</f>
        <v>1.108471889362782E-3</v>
      </c>
      <c r="G77" s="1"/>
      <c r="H77" s="1">
        <f>SUM(OSRRefH22_16x_0)</f>
        <v>0</v>
      </c>
      <c r="I77" s="1"/>
      <c r="J77" s="5">
        <f t="shared" ref="J77:J87" si="53">IF(H$12=0,0,H77/H$12)</f>
        <v>0</v>
      </c>
      <c r="K77" s="1"/>
      <c r="L77" s="1">
        <f t="shared" ref="L77:L87" si="54">+D77-H77</f>
        <v>593.59</v>
      </c>
      <c r="M77" s="1"/>
      <c r="N77" s="5">
        <f t="shared" ref="N77:N87" si="55">IF(H77=0,0,L77/H77)</f>
        <v>0</v>
      </c>
      <c r="O77" s="14"/>
      <c r="P77" s="1">
        <f>SUM(OSRRefP22_16x_0)</f>
        <v>724.26</v>
      </c>
      <c r="Q77" s="1"/>
      <c r="R77" s="5">
        <f t="shared" ref="R77:R87" si="56">IF(P$12=0,0,P77/P$12)</f>
        <v>1.252627497990981E-3</v>
      </c>
      <c r="S77" s="1"/>
      <c r="T77" s="1">
        <f>SUM(OSRRefT22_16x_0)</f>
        <v>9.32</v>
      </c>
      <c r="U77" s="1"/>
      <c r="V77" s="5">
        <f t="shared" ref="V77:V87" si="57">IF(T$12=0,0,T77/T$12)</f>
        <v>1.2451594759374935E-4</v>
      </c>
      <c r="W77" s="1"/>
      <c r="X77" s="1">
        <f t="shared" ref="X77:X87" si="58">+P77-T77</f>
        <v>714.93999999999994</v>
      </c>
      <c r="Y77" s="1"/>
      <c r="Z77" s="5">
        <f t="shared" ref="Z77:Z87" si="59">IF(T77=0,0,X77/T77)</f>
        <v>76.710300429184542</v>
      </c>
    </row>
    <row r="78" spans="1:26" s="24" customFormat="1" hidden="1" outlineLevel="2" x14ac:dyDescent="0.3">
      <c r="A78" s="27"/>
      <c r="B78" s="11" t="str">
        <f>CONCATENATE("          ", "6275", " - ", "SUBSCRIPTIONS")</f>
        <v xml:space="preserve">          6275 - SUBSCRIPTIONS</v>
      </c>
      <c r="C78" s="11"/>
      <c r="D78" s="7">
        <v>593.59</v>
      </c>
      <c r="E78" s="2"/>
      <c r="F78" s="8">
        <f t="shared" si="52"/>
        <v>1.108471889362782E-3</v>
      </c>
      <c r="G78" s="2"/>
      <c r="H78" s="7"/>
      <c r="I78" s="2"/>
      <c r="J78" s="8">
        <f t="shared" si="53"/>
        <v>0</v>
      </c>
      <c r="K78" s="2"/>
      <c r="L78" s="7">
        <f t="shared" si="54"/>
        <v>593.59</v>
      </c>
      <c r="M78" s="2"/>
      <c r="N78" s="8">
        <f t="shared" si="55"/>
        <v>0</v>
      </c>
      <c r="O78" s="11"/>
      <c r="P78" s="7">
        <v>724.26</v>
      </c>
      <c r="Q78" s="2"/>
      <c r="R78" s="8">
        <f t="shared" si="56"/>
        <v>1.252627497990981E-3</v>
      </c>
      <c r="S78" s="2"/>
      <c r="T78" s="7">
        <v>9.32</v>
      </c>
      <c r="U78" s="2"/>
      <c r="V78" s="8">
        <f t="shared" si="57"/>
        <v>1.2451594759374935E-4</v>
      </c>
      <c r="W78" s="2"/>
      <c r="X78" s="7">
        <f t="shared" si="58"/>
        <v>714.93999999999994</v>
      </c>
      <c r="Y78" s="2"/>
      <c r="Z78" s="8">
        <f t="shared" si="59"/>
        <v>76.710300429184542</v>
      </c>
    </row>
    <row r="79" spans="1:26" s="28" customFormat="1" outlineLevel="1" collapsed="1" x14ac:dyDescent="0.3">
      <c r="A79" s="29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SUM(OSRRefD22_17x_0)</f>
        <v>26030.74</v>
      </c>
      <c r="E79" s="1"/>
      <c r="F79" s="5">
        <f t="shared" si="52"/>
        <v>4.8609888221350331E-2</v>
      </c>
      <c r="G79" s="1"/>
      <c r="H79" s="1">
        <f>SUM(OSRRefH22_17x_0)</f>
        <v>-9521.130000000001</v>
      </c>
      <c r="I79" s="1"/>
      <c r="J79" s="5">
        <f t="shared" si="53"/>
        <v>-0.1745490404425393</v>
      </c>
      <c r="K79" s="1"/>
      <c r="L79" s="1">
        <f t="shared" si="54"/>
        <v>35551.870000000003</v>
      </c>
      <c r="M79" s="1"/>
      <c r="N79" s="5">
        <f t="shared" si="55"/>
        <v>-3.7339969100306369</v>
      </c>
      <c r="O79" s="14"/>
      <c r="P79" s="1">
        <f>SUM(OSRRefP22_17x_0)</f>
        <v>32971.83</v>
      </c>
      <c r="Q79" s="1"/>
      <c r="R79" s="5">
        <f t="shared" si="56"/>
        <v>5.7025682651373776E-2</v>
      </c>
      <c r="S79" s="1"/>
      <c r="T79" s="1">
        <f>SUM(OSRRefT22_17x_0)</f>
        <v>-2166.4699999999989</v>
      </c>
      <c r="U79" s="1"/>
      <c r="V79" s="5">
        <f t="shared" si="57"/>
        <v>-2.8944212981054721E-2</v>
      </c>
      <c r="W79" s="1"/>
      <c r="X79" s="1">
        <f t="shared" si="58"/>
        <v>35138.300000000003</v>
      </c>
      <c r="Y79" s="1"/>
      <c r="Z79" s="5">
        <f t="shared" si="59"/>
        <v>-16.219149122766538</v>
      </c>
    </row>
    <row r="80" spans="1:26" s="24" customFormat="1" hidden="1" outlineLevel="2" x14ac:dyDescent="0.3">
      <c r="A80" s="27"/>
      <c r="B80" s="11" t="str">
        <f>CONCATENATE("          ", "6234", " - ", "EXPENDABLE SUPPLIES &amp; EQUIPMEN")</f>
        <v xml:space="preserve">          6234 - EXPENDABLE SUPPLIES &amp; EQUIPMEN</v>
      </c>
      <c r="C80" s="11"/>
      <c r="D80" s="7"/>
      <c r="E80" s="2"/>
      <c r="F80" s="8">
        <f t="shared" si="52"/>
        <v>0</v>
      </c>
      <c r="G80" s="2"/>
      <c r="H80" s="7">
        <v>255.78</v>
      </c>
      <c r="I80" s="2"/>
      <c r="J80" s="8">
        <f t="shared" si="53"/>
        <v>4.6891654209524182E-3</v>
      </c>
      <c r="K80" s="2"/>
      <c r="L80" s="7">
        <f t="shared" si="54"/>
        <v>-255.78</v>
      </c>
      <c r="M80" s="2"/>
      <c r="N80" s="8">
        <f t="shared" si="55"/>
        <v>-1</v>
      </c>
      <c r="O80" s="11"/>
      <c r="P80" s="7"/>
      <c r="Q80" s="2"/>
      <c r="R80" s="8">
        <f t="shared" si="56"/>
        <v>0</v>
      </c>
      <c r="S80" s="2"/>
      <c r="T80" s="7">
        <v>255.78</v>
      </c>
      <c r="U80" s="2"/>
      <c r="V80" s="8">
        <f t="shared" si="57"/>
        <v>3.4172413171168676E-3</v>
      </c>
      <c r="W80" s="2"/>
      <c r="X80" s="7">
        <f t="shared" si="58"/>
        <v>-255.78</v>
      </c>
      <c r="Y80" s="2"/>
      <c r="Z80" s="8">
        <f t="shared" si="59"/>
        <v>-1</v>
      </c>
    </row>
    <row r="81" spans="1:26" s="24" customFormat="1" hidden="1" outlineLevel="2" x14ac:dyDescent="0.3">
      <c r="A81" s="27"/>
      <c r="B81" s="11" t="str">
        <f>CONCATENATE("          ", "6235", " - ", "COVID-19 EXPENSES")</f>
        <v xml:space="preserve">          6235 - COVID-19 EXPENSES</v>
      </c>
      <c r="C81" s="11"/>
      <c r="D81" s="7"/>
      <c r="E81" s="2"/>
      <c r="F81" s="8">
        <f t="shared" si="52"/>
        <v>0</v>
      </c>
      <c r="G81" s="2"/>
      <c r="H81" s="7">
        <v>8993.76</v>
      </c>
      <c r="I81" s="2"/>
      <c r="J81" s="8">
        <f t="shared" si="53"/>
        <v>0.16488086791909071</v>
      </c>
      <c r="K81" s="2"/>
      <c r="L81" s="7">
        <f t="shared" si="54"/>
        <v>-8993.76</v>
      </c>
      <c r="M81" s="2"/>
      <c r="N81" s="8">
        <f t="shared" si="55"/>
        <v>-1</v>
      </c>
      <c r="O81" s="11"/>
      <c r="P81" s="7"/>
      <c r="Q81" s="2"/>
      <c r="R81" s="8">
        <f t="shared" si="56"/>
        <v>0</v>
      </c>
      <c r="S81" s="2"/>
      <c r="T81" s="7">
        <v>14495.7</v>
      </c>
      <c r="U81" s="2"/>
      <c r="V81" s="8">
        <f t="shared" si="57"/>
        <v>0.19366371475694338</v>
      </c>
      <c r="W81" s="2"/>
      <c r="X81" s="7">
        <f t="shared" si="58"/>
        <v>-14495.7</v>
      </c>
      <c r="Y81" s="2"/>
      <c r="Z81" s="8">
        <f t="shared" si="59"/>
        <v>-1</v>
      </c>
    </row>
    <row r="82" spans="1:26" s="24" customFormat="1" hidden="1" outlineLevel="2" x14ac:dyDescent="0.3">
      <c r="A82" s="27"/>
      <c r="B82" s="11" t="str">
        <f>CONCATENATE("          ", "6237", " - ", "JANITORIAL SUPPLIES")</f>
        <v xml:space="preserve">          6237 - JANITORIAL SUPPLIES</v>
      </c>
      <c r="C82" s="11"/>
      <c r="D82" s="7">
        <v>3475.37</v>
      </c>
      <c r="E82" s="2"/>
      <c r="F82" s="8">
        <f t="shared" si="52"/>
        <v>6.4899171989668478E-3</v>
      </c>
      <c r="G82" s="2"/>
      <c r="H82" s="7">
        <v>1416.91</v>
      </c>
      <c r="I82" s="2"/>
      <c r="J82" s="8">
        <f t="shared" si="53"/>
        <v>2.5975937823917786E-2</v>
      </c>
      <c r="K82" s="2"/>
      <c r="L82" s="7">
        <f t="shared" si="54"/>
        <v>2058.46</v>
      </c>
      <c r="M82" s="2"/>
      <c r="N82" s="8">
        <f t="shared" si="55"/>
        <v>1.4527810517252331</v>
      </c>
      <c r="O82" s="11"/>
      <c r="P82" s="7">
        <v>8179.49</v>
      </c>
      <c r="Q82" s="2"/>
      <c r="R82" s="8">
        <f t="shared" si="56"/>
        <v>1.414665188405027E-2</v>
      </c>
      <c r="S82" s="2"/>
      <c r="T82" s="7">
        <v>2604.9499999999998</v>
      </c>
      <c r="U82" s="2"/>
      <c r="V82" s="8">
        <f t="shared" si="57"/>
        <v>3.480234095325508E-2</v>
      </c>
      <c r="W82" s="2"/>
      <c r="X82" s="7">
        <f t="shared" si="58"/>
        <v>5574.54</v>
      </c>
      <c r="Y82" s="2"/>
      <c r="Z82" s="8">
        <f t="shared" si="59"/>
        <v>2.1399796541200407</v>
      </c>
    </row>
    <row r="83" spans="1:26" s="24" customFormat="1" hidden="1" outlineLevel="2" x14ac:dyDescent="0.3">
      <c r="A83" s="27"/>
      <c r="B83" s="11" t="str">
        <f>CONCATENATE("          ", "6239", " - ", "KITCHEN SUPPLIES")</f>
        <v xml:space="preserve">          6239 - KITCHEN SUPPLIES</v>
      </c>
      <c r="C83" s="11"/>
      <c r="D83" s="7">
        <v>3069.8</v>
      </c>
      <c r="E83" s="2"/>
      <c r="F83" s="8">
        <f t="shared" si="52"/>
        <v>5.7325544668304189E-3</v>
      </c>
      <c r="G83" s="2"/>
      <c r="H83" s="7">
        <v>2324.31</v>
      </c>
      <c r="I83" s="2"/>
      <c r="J83" s="8">
        <f t="shared" si="53"/>
        <v>4.2611127060653356E-2</v>
      </c>
      <c r="K83" s="2"/>
      <c r="L83" s="7">
        <f t="shared" si="54"/>
        <v>745.49000000000024</v>
      </c>
      <c r="M83" s="2"/>
      <c r="N83" s="8">
        <f t="shared" si="55"/>
        <v>0.32073604639656511</v>
      </c>
      <c r="O83" s="11"/>
      <c r="P83" s="7">
        <v>3101.83</v>
      </c>
      <c r="Q83" s="2"/>
      <c r="R83" s="8">
        <f t="shared" si="56"/>
        <v>5.3646999034785356E-3</v>
      </c>
      <c r="S83" s="2"/>
      <c r="T83" s="7">
        <v>2374.31</v>
      </c>
      <c r="U83" s="2"/>
      <c r="V83" s="8">
        <f t="shared" si="57"/>
        <v>3.17209720527162E-2</v>
      </c>
      <c r="W83" s="2"/>
      <c r="X83" s="7">
        <f t="shared" si="58"/>
        <v>727.52</v>
      </c>
      <c r="Y83" s="2"/>
      <c r="Z83" s="8">
        <f t="shared" si="59"/>
        <v>0.30641323163361145</v>
      </c>
    </row>
    <row r="84" spans="1:26" s="24" customFormat="1" hidden="1" outlineLevel="2" x14ac:dyDescent="0.3">
      <c r="A84" s="27"/>
      <c r="B84" s="11" t="str">
        <f>CONCATENATE("          ", "6241", " - ", "OFFICE EXPENSE")</f>
        <v xml:space="preserve">          6241 - OFFICE EXPENSE</v>
      </c>
      <c r="C84" s="11"/>
      <c r="D84" s="7">
        <v>4615.03</v>
      </c>
      <c r="E84" s="2"/>
      <c r="F84" s="8">
        <f t="shared" si="52"/>
        <v>8.618121975717109E-3</v>
      </c>
      <c r="G84" s="2"/>
      <c r="H84" s="7">
        <v>-29035.16</v>
      </c>
      <c r="I84" s="2"/>
      <c r="J84" s="8">
        <f t="shared" si="53"/>
        <v>-0.53229598977176018</v>
      </c>
      <c r="K84" s="2"/>
      <c r="L84" s="7">
        <f t="shared" si="54"/>
        <v>33650.19</v>
      </c>
      <c r="M84" s="2"/>
      <c r="N84" s="8">
        <f t="shared" si="55"/>
        <v>-1.1589462568830342</v>
      </c>
      <c r="O84" s="11"/>
      <c r="P84" s="7">
        <v>5591.52</v>
      </c>
      <c r="Q84" s="2"/>
      <c r="R84" s="8">
        <f t="shared" si="56"/>
        <v>9.6706869184637161E-3</v>
      </c>
      <c r="S84" s="2"/>
      <c r="T84" s="7">
        <v>-29068.36</v>
      </c>
      <c r="U84" s="2"/>
      <c r="V84" s="8">
        <f t="shared" si="57"/>
        <v>-0.38835562128715018</v>
      </c>
      <c r="W84" s="2"/>
      <c r="X84" s="7">
        <f t="shared" si="58"/>
        <v>34659.880000000005</v>
      </c>
      <c r="Y84" s="2"/>
      <c r="Z84" s="8">
        <f t="shared" si="59"/>
        <v>-1.1923576011856192</v>
      </c>
    </row>
    <row r="85" spans="1:26" s="24" customFormat="1" hidden="1" outlineLevel="2" x14ac:dyDescent="0.3">
      <c r="A85" s="27"/>
      <c r="B85" s="11" t="str">
        <f>CONCATENATE("          ", "6243", " - ", "PAPER SUPPLIES")</f>
        <v xml:space="preserve">          6243 - PAPER SUPPLIES</v>
      </c>
      <c r="C85" s="11"/>
      <c r="D85" s="7">
        <v>14670.54</v>
      </c>
      <c r="E85" s="2"/>
      <c r="F85" s="8">
        <f t="shared" si="52"/>
        <v>2.7395813931791756E-2</v>
      </c>
      <c r="G85" s="2"/>
      <c r="H85" s="7">
        <v>3012.29</v>
      </c>
      <c r="I85" s="2"/>
      <c r="J85" s="8">
        <f t="shared" si="53"/>
        <v>5.5223731745565566E-2</v>
      </c>
      <c r="K85" s="2"/>
      <c r="L85" s="7">
        <f t="shared" si="54"/>
        <v>11658.25</v>
      </c>
      <c r="M85" s="2"/>
      <c r="N85" s="8">
        <f t="shared" si="55"/>
        <v>3.8702282980722309</v>
      </c>
      <c r="O85" s="11"/>
      <c r="P85" s="7">
        <v>15898.99</v>
      </c>
      <c r="Q85" s="2"/>
      <c r="R85" s="8">
        <f t="shared" si="56"/>
        <v>2.7497738470001969E-2</v>
      </c>
      <c r="S85" s="2"/>
      <c r="T85" s="7">
        <v>3660.17</v>
      </c>
      <c r="U85" s="2"/>
      <c r="V85" s="8">
        <f t="shared" si="57"/>
        <v>4.8900164796589436E-2</v>
      </c>
      <c r="W85" s="2"/>
      <c r="X85" s="7">
        <f t="shared" si="58"/>
        <v>12238.82</v>
      </c>
      <c r="Y85" s="2"/>
      <c r="Z85" s="8">
        <f t="shared" si="59"/>
        <v>3.343784578311936</v>
      </c>
    </row>
    <row r="86" spans="1:26" s="24" customFormat="1" hidden="1" outlineLevel="2" x14ac:dyDescent="0.3">
      <c r="A86" s="27"/>
      <c r="B86" s="11" t="str">
        <f>CONCATENATE("          ", "6247", " - ", "STORE SUPPLIES")</f>
        <v xml:space="preserve">          6247 - STORE SUPPLIES</v>
      </c>
      <c r="C86" s="11"/>
      <c r="D86" s="7">
        <v>200</v>
      </c>
      <c r="E86" s="2"/>
      <c r="F86" s="8">
        <f t="shared" si="52"/>
        <v>3.734806480441995E-4</v>
      </c>
      <c r="G86" s="2"/>
      <c r="H86" s="7"/>
      <c r="I86" s="2"/>
      <c r="J86" s="8">
        <f t="shared" si="53"/>
        <v>0</v>
      </c>
      <c r="K86" s="2"/>
      <c r="L86" s="7">
        <f t="shared" si="54"/>
        <v>200</v>
      </c>
      <c r="M86" s="2"/>
      <c r="N86" s="8">
        <f t="shared" si="55"/>
        <v>0</v>
      </c>
      <c r="O86" s="11"/>
      <c r="P86" s="7">
        <v>200</v>
      </c>
      <c r="Q86" s="2"/>
      <c r="R86" s="8">
        <f t="shared" si="56"/>
        <v>3.4590547537927845E-4</v>
      </c>
      <c r="S86" s="2"/>
      <c r="T86" s="7"/>
      <c r="U86" s="2"/>
      <c r="V86" s="8">
        <f t="shared" si="57"/>
        <v>0</v>
      </c>
      <c r="W86" s="2"/>
      <c r="X86" s="7">
        <f t="shared" si="58"/>
        <v>200</v>
      </c>
      <c r="Y86" s="2"/>
      <c r="Z86" s="8">
        <f t="shared" si="59"/>
        <v>0</v>
      </c>
    </row>
    <row r="87" spans="1:26" s="24" customFormat="1" hidden="1" outlineLevel="2" x14ac:dyDescent="0.3">
      <c r="A87" s="27"/>
      <c r="B87" s="11" t="str">
        <f>CONCATENATE("          ", "6248", " - ", "UNIFORMS")</f>
        <v xml:space="preserve">          6248 - UNIFORMS</v>
      </c>
      <c r="C87" s="11"/>
      <c r="D87" s="7"/>
      <c r="E87" s="2"/>
      <c r="F87" s="8">
        <f t="shared" si="52"/>
        <v>0</v>
      </c>
      <c r="G87" s="2"/>
      <c r="H87" s="7">
        <v>3510.98</v>
      </c>
      <c r="I87" s="2"/>
      <c r="J87" s="8">
        <f t="shared" si="53"/>
        <v>6.436611935904106E-2</v>
      </c>
      <c r="K87" s="2"/>
      <c r="L87" s="7">
        <f t="shared" si="54"/>
        <v>-3510.98</v>
      </c>
      <c r="M87" s="2"/>
      <c r="N87" s="8">
        <f t="shared" si="55"/>
        <v>-1</v>
      </c>
      <c r="O87" s="11"/>
      <c r="P87" s="7"/>
      <c r="Q87" s="2"/>
      <c r="R87" s="8">
        <f t="shared" si="56"/>
        <v>0</v>
      </c>
      <c r="S87" s="2"/>
      <c r="T87" s="7">
        <v>3510.98</v>
      </c>
      <c r="U87" s="2"/>
      <c r="V87" s="8">
        <f t="shared" si="57"/>
        <v>4.6906974429474474E-2</v>
      </c>
      <c r="W87" s="2"/>
      <c r="X87" s="7">
        <f t="shared" si="58"/>
        <v>-3510.98</v>
      </c>
      <c r="Y87" s="2"/>
      <c r="Z87" s="8">
        <f t="shared" si="59"/>
        <v>-1</v>
      </c>
    </row>
    <row r="88" spans="1:26" s="28" customFormat="1" outlineLevel="1" collapsed="1" x14ac:dyDescent="0.3">
      <c r="A88" s="29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SUM(OSRRefD22_18x_0)</f>
        <v>1344.95</v>
      </c>
      <c r="E88" s="1"/>
      <c r="F88" s="5">
        <f t="shared" ref="F88:F94" si="60">IF(D$12=0,0,D88/D$12)</f>
        <v>2.5115639879352307E-3</v>
      </c>
      <c r="G88" s="1"/>
      <c r="H88" s="1">
        <f>SUM(OSRRefH22_18x_0)</f>
        <v>1861.46</v>
      </c>
      <c r="I88" s="1"/>
      <c r="J88" s="5">
        <f t="shared" ref="J88:J94" si="61">IF(H$12=0,0,H88/H$12)</f>
        <v>3.41257872565724E-2</v>
      </c>
      <c r="K88" s="1"/>
      <c r="L88" s="1">
        <f t="shared" ref="L88:L94" si="62">+D88-H88</f>
        <v>-516.51</v>
      </c>
      <c r="M88" s="1"/>
      <c r="N88" s="5">
        <f t="shared" ref="N88:N94" si="63">IF(H88=0,0,L88/H88)</f>
        <v>-0.27747574484544391</v>
      </c>
      <c r="O88" s="14"/>
      <c r="P88" s="1">
        <f>SUM(OSRRefP22_18x_0)</f>
        <v>2367.5</v>
      </c>
      <c r="Q88" s="1"/>
      <c r="R88" s="5">
        <f t="shared" ref="R88:R94" si="64">IF(P$12=0,0,P88/P$12)</f>
        <v>4.0946560648022082E-3</v>
      </c>
      <c r="S88" s="1"/>
      <c r="T88" s="1">
        <f>SUM(OSRRefT22_18x_0)</f>
        <v>3697.78</v>
      </c>
      <c r="U88" s="1"/>
      <c r="V88" s="5">
        <f t="shared" ref="V88:V94" si="65">IF(T$12=0,0,T88/T$12)</f>
        <v>4.9402637413435029E-2</v>
      </c>
      <c r="W88" s="1"/>
      <c r="X88" s="1">
        <f t="shared" ref="X88:X94" si="66">+P88-T88</f>
        <v>-1330.2800000000002</v>
      </c>
      <c r="Y88" s="1"/>
      <c r="Z88" s="5">
        <f t="shared" ref="Z88:Z94" si="67">IF(T88=0,0,X88/T88)</f>
        <v>-0.3597509857265711</v>
      </c>
    </row>
    <row r="89" spans="1:26" s="24" customFormat="1" hidden="1" outlineLevel="2" x14ac:dyDescent="0.3">
      <c r="A89" s="27"/>
      <c r="B89" s="11" t="str">
        <f>CONCATENATE("          ", "6309", " - ", "TELEPHONE")</f>
        <v xml:space="preserve">          6309 - TELEPHONE</v>
      </c>
      <c r="C89" s="11"/>
      <c r="D89" s="7">
        <v>1344.95</v>
      </c>
      <c r="E89" s="2"/>
      <c r="F89" s="8">
        <f t="shared" si="60"/>
        <v>2.5115639879352307E-3</v>
      </c>
      <c r="G89" s="2"/>
      <c r="H89" s="7">
        <v>1861.46</v>
      </c>
      <c r="I89" s="2"/>
      <c r="J89" s="8">
        <f t="shared" si="61"/>
        <v>3.41257872565724E-2</v>
      </c>
      <c r="K89" s="2"/>
      <c r="L89" s="7">
        <f t="shared" si="62"/>
        <v>-516.51</v>
      </c>
      <c r="M89" s="2"/>
      <c r="N89" s="8">
        <f t="shared" si="63"/>
        <v>-0.27747574484544391</v>
      </c>
      <c r="O89" s="11"/>
      <c r="P89" s="7">
        <v>2367.5</v>
      </c>
      <c r="Q89" s="2"/>
      <c r="R89" s="8">
        <f t="shared" si="64"/>
        <v>4.0946560648022082E-3</v>
      </c>
      <c r="S89" s="2"/>
      <c r="T89" s="7">
        <v>3697.78</v>
      </c>
      <c r="U89" s="2"/>
      <c r="V89" s="8">
        <f t="shared" si="65"/>
        <v>4.9402637413435029E-2</v>
      </c>
      <c r="W89" s="2"/>
      <c r="X89" s="7">
        <f t="shared" si="66"/>
        <v>-1330.2800000000002</v>
      </c>
      <c r="Y89" s="2"/>
      <c r="Z89" s="8">
        <f t="shared" si="67"/>
        <v>-0.3597509857265711</v>
      </c>
    </row>
    <row r="90" spans="1:26" s="28" customFormat="1" outlineLevel="1" collapsed="1" x14ac:dyDescent="0.3">
      <c r="A90" s="29"/>
      <c r="B90" s="14" t="str">
        <f>CONCATENATE("     ","Training                                          ")</f>
        <v xml:space="preserve">     Training                                          </v>
      </c>
      <c r="C90" s="14"/>
      <c r="D90" s="1">
        <f>SUM(OSRRefD22_19x_0)</f>
        <v>0</v>
      </c>
      <c r="E90" s="1"/>
      <c r="F90" s="5">
        <f t="shared" si="60"/>
        <v>0</v>
      </c>
      <c r="G90" s="1"/>
      <c r="H90" s="1">
        <f>SUM(OSRRefH22_19x_0)</f>
        <v>350</v>
      </c>
      <c r="I90" s="1"/>
      <c r="J90" s="5">
        <f t="shared" si="61"/>
        <v>6.4164825136185256E-3</v>
      </c>
      <c r="K90" s="1"/>
      <c r="L90" s="1">
        <f t="shared" si="62"/>
        <v>-350</v>
      </c>
      <c r="M90" s="1"/>
      <c r="N90" s="5">
        <f t="shared" si="63"/>
        <v>-1</v>
      </c>
      <c r="O90" s="14"/>
      <c r="P90" s="1">
        <f>SUM(OSRRefP22_19x_0)</f>
        <v>0</v>
      </c>
      <c r="Q90" s="1"/>
      <c r="R90" s="5">
        <f t="shared" si="64"/>
        <v>0</v>
      </c>
      <c r="S90" s="1"/>
      <c r="T90" s="1">
        <f>SUM(OSRRefT22_19x_0)</f>
        <v>350</v>
      </c>
      <c r="U90" s="1"/>
      <c r="V90" s="5">
        <f t="shared" si="65"/>
        <v>4.6760280748725609E-3</v>
      </c>
      <c r="W90" s="1"/>
      <c r="X90" s="1">
        <f t="shared" si="66"/>
        <v>-350</v>
      </c>
      <c r="Y90" s="1"/>
      <c r="Z90" s="5">
        <f t="shared" si="67"/>
        <v>-1</v>
      </c>
    </row>
    <row r="91" spans="1:26" s="24" customFormat="1" hidden="1" outlineLevel="2" x14ac:dyDescent="0.3">
      <c r="A91" s="27"/>
      <c r="B91" s="11" t="str">
        <f>CONCATENATE("          ", "6376", " - ", "TRAINING")</f>
        <v xml:space="preserve">          6376 - TRAINING</v>
      </c>
      <c r="C91" s="11"/>
      <c r="D91" s="7"/>
      <c r="E91" s="2"/>
      <c r="F91" s="8">
        <f t="shared" si="60"/>
        <v>0</v>
      </c>
      <c r="G91" s="2"/>
      <c r="H91" s="7">
        <v>350</v>
      </c>
      <c r="I91" s="2"/>
      <c r="J91" s="8">
        <f t="shared" si="61"/>
        <v>6.4164825136185256E-3</v>
      </c>
      <c r="K91" s="2"/>
      <c r="L91" s="7">
        <f t="shared" si="62"/>
        <v>-350</v>
      </c>
      <c r="M91" s="2"/>
      <c r="N91" s="8">
        <f t="shared" si="63"/>
        <v>-1</v>
      </c>
      <c r="O91" s="11"/>
      <c r="P91" s="7"/>
      <c r="Q91" s="2"/>
      <c r="R91" s="8">
        <f t="shared" si="64"/>
        <v>0</v>
      </c>
      <c r="S91" s="2"/>
      <c r="T91" s="7">
        <v>350</v>
      </c>
      <c r="U91" s="2"/>
      <c r="V91" s="8">
        <f t="shared" si="65"/>
        <v>4.6760280748725609E-3</v>
      </c>
      <c r="W91" s="2"/>
      <c r="X91" s="7">
        <f t="shared" si="66"/>
        <v>-350</v>
      </c>
      <c r="Y91" s="2"/>
      <c r="Z91" s="8">
        <f t="shared" si="67"/>
        <v>-1</v>
      </c>
    </row>
    <row r="92" spans="1:26" s="28" customFormat="1" outlineLevel="1" collapsed="1" x14ac:dyDescent="0.3">
      <c r="A92" s="29"/>
      <c r="B92" s="14" t="str">
        <f>CONCATENATE("     ","Travel                                            ")</f>
        <v xml:space="preserve">     Travel                                            </v>
      </c>
      <c r="C92" s="14"/>
      <c r="D92" s="1">
        <f>SUM(OSRRefD22_20x_0)</f>
        <v>595</v>
      </c>
      <c r="E92" s="1"/>
      <c r="F92" s="5">
        <f t="shared" si="60"/>
        <v>1.1111049279314935E-3</v>
      </c>
      <c r="G92" s="1"/>
      <c r="H92" s="1">
        <f>SUM(OSRRefH22_20x_0)</f>
        <v>0</v>
      </c>
      <c r="I92" s="1"/>
      <c r="J92" s="5">
        <f t="shared" si="61"/>
        <v>0</v>
      </c>
      <c r="K92" s="1"/>
      <c r="L92" s="1">
        <f t="shared" si="62"/>
        <v>595</v>
      </c>
      <c r="M92" s="1"/>
      <c r="N92" s="5">
        <f t="shared" si="63"/>
        <v>0</v>
      </c>
      <c r="O92" s="14"/>
      <c r="P92" s="1">
        <f>SUM(OSRRefP22_20x_0)</f>
        <v>595</v>
      </c>
      <c r="Q92" s="1"/>
      <c r="R92" s="5">
        <f t="shared" si="64"/>
        <v>1.0290687892533534E-3</v>
      </c>
      <c r="S92" s="1"/>
      <c r="T92" s="1">
        <f>SUM(OSRRefT22_20x_0)</f>
        <v>179.69</v>
      </c>
      <c r="U92" s="1"/>
      <c r="V92" s="5">
        <f t="shared" si="65"/>
        <v>2.4006728136395728E-3</v>
      </c>
      <c r="W92" s="1"/>
      <c r="X92" s="1">
        <f t="shared" si="66"/>
        <v>415.31</v>
      </c>
      <c r="Y92" s="1"/>
      <c r="Z92" s="5">
        <f t="shared" si="67"/>
        <v>2.3112582781456954</v>
      </c>
    </row>
    <row r="93" spans="1:26" s="24" customFormat="1" hidden="1" outlineLevel="2" x14ac:dyDescent="0.3">
      <c r="A93" s="27"/>
      <c r="B93" s="11" t="str">
        <f>CONCATENATE("          ", "6292", " - ", "TRAVEL/CONFERENCE")</f>
        <v xml:space="preserve">          6292 - TRAVEL/CONFERENCE</v>
      </c>
      <c r="C93" s="11"/>
      <c r="D93" s="7">
        <v>595</v>
      </c>
      <c r="E93" s="2"/>
      <c r="F93" s="8">
        <f t="shared" si="60"/>
        <v>1.1111049279314935E-3</v>
      </c>
      <c r="G93" s="2"/>
      <c r="H93" s="7"/>
      <c r="I93" s="2"/>
      <c r="J93" s="8">
        <f t="shared" si="61"/>
        <v>0</v>
      </c>
      <c r="K93" s="2"/>
      <c r="L93" s="7">
        <f t="shared" si="62"/>
        <v>595</v>
      </c>
      <c r="M93" s="2"/>
      <c r="N93" s="8">
        <f t="shared" si="63"/>
        <v>0</v>
      </c>
      <c r="O93" s="11"/>
      <c r="P93" s="7">
        <v>595</v>
      </c>
      <c r="Q93" s="2"/>
      <c r="R93" s="8">
        <f t="shared" si="64"/>
        <v>1.0290687892533534E-3</v>
      </c>
      <c r="S93" s="2"/>
      <c r="T93" s="7"/>
      <c r="U93" s="2"/>
      <c r="V93" s="8">
        <f t="shared" si="65"/>
        <v>0</v>
      </c>
      <c r="W93" s="2"/>
      <c r="X93" s="7">
        <f t="shared" si="66"/>
        <v>595</v>
      </c>
      <c r="Y93" s="2"/>
      <c r="Z93" s="8">
        <f t="shared" si="67"/>
        <v>0</v>
      </c>
    </row>
    <row r="94" spans="1:26" s="24" customFormat="1" hidden="1" outlineLevel="2" x14ac:dyDescent="0.3">
      <c r="A94" s="27"/>
      <c r="B94" s="11" t="str">
        <f>CONCATENATE("          ", "6298", " - ", "VEHICLE MILEAGE")</f>
        <v xml:space="preserve">          6298 - VEHICLE MILEAGE</v>
      </c>
      <c r="C94" s="11"/>
      <c r="D94" s="7"/>
      <c r="E94" s="2"/>
      <c r="F94" s="8">
        <f t="shared" si="60"/>
        <v>0</v>
      </c>
      <c r="G94" s="2"/>
      <c r="H94" s="7"/>
      <c r="I94" s="2"/>
      <c r="J94" s="8">
        <f t="shared" si="61"/>
        <v>0</v>
      </c>
      <c r="K94" s="2"/>
      <c r="L94" s="7">
        <f t="shared" si="62"/>
        <v>0</v>
      </c>
      <c r="M94" s="2"/>
      <c r="N94" s="8">
        <f t="shared" si="63"/>
        <v>0</v>
      </c>
      <c r="O94" s="11"/>
      <c r="P94" s="7"/>
      <c r="Q94" s="2"/>
      <c r="R94" s="8">
        <f t="shared" si="64"/>
        <v>0</v>
      </c>
      <c r="S94" s="2"/>
      <c r="T94" s="7">
        <v>179.69</v>
      </c>
      <c r="U94" s="2"/>
      <c r="V94" s="8">
        <f t="shared" si="65"/>
        <v>2.4006728136395728E-3</v>
      </c>
      <c r="W94" s="2"/>
      <c r="X94" s="7">
        <f t="shared" si="66"/>
        <v>-179.69</v>
      </c>
      <c r="Y94" s="2"/>
      <c r="Z94" s="8">
        <f t="shared" si="67"/>
        <v>-1</v>
      </c>
    </row>
    <row r="95" spans="1:26" s="28" customFormat="1" outlineLevel="1" collapsed="1" x14ac:dyDescent="0.3">
      <c r="A95" s="29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SUM(OSRRefD22_21x_0)</f>
        <v>8150</v>
      </c>
      <c r="E95" s="1"/>
      <c r="F95" s="5">
        <f t="shared" ref="F95:F96" si="68">IF(D$12=0,0,D95/D$12)</f>
        <v>1.521933640780113E-2</v>
      </c>
      <c r="G95" s="1"/>
      <c r="H95" s="1">
        <f>SUM(OSRRefH22_21x_0)</f>
        <v>2300</v>
      </c>
      <c r="I95" s="1"/>
      <c r="J95" s="5">
        <f t="shared" ref="J95:J96" si="69">IF(H$12=0,0,H95/H$12)</f>
        <v>4.2165456518064595E-2</v>
      </c>
      <c r="K95" s="1"/>
      <c r="L95" s="1">
        <f t="shared" ref="L95:L96" si="70">+D95-H95</f>
        <v>5850</v>
      </c>
      <c r="M95" s="1"/>
      <c r="N95" s="5">
        <f t="shared" ref="N95:N96" si="71">IF(H95=0,0,L95/H95)</f>
        <v>2.5434782608695654</v>
      </c>
      <c r="O95" s="14"/>
      <c r="P95" s="1">
        <f>SUM(OSRRefP22_21x_0)</f>
        <v>16300</v>
      </c>
      <c r="Q95" s="1"/>
      <c r="R95" s="5">
        <f t="shared" ref="R95:R96" si="72">IF(P$12=0,0,P95/P$12)</f>
        <v>2.8191296243411192E-2</v>
      </c>
      <c r="S95" s="1"/>
      <c r="T95" s="1">
        <f>SUM(OSRRefT22_21x_0)</f>
        <v>4600</v>
      </c>
      <c r="U95" s="1"/>
      <c r="V95" s="5">
        <f t="shared" ref="V95:V96" si="73">IF(T$12=0,0,T95/T$12)</f>
        <v>6.1456368984039375E-2</v>
      </c>
      <c r="W95" s="1"/>
      <c r="X95" s="1">
        <f t="shared" ref="X95:X96" si="74">+P95-T95</f>
        <v>11700</v>
      </c>
      <c r="Y95" s="1"/>
      <c r="Z95" s="5">
        <f t="shared" ref="Z95:Z96" si="75">IF(T95=0,0,X95/T95)</f>
        <v>2.5434782608695654</v>
      </c>
    </row>
    <row r="96" spans="1:26" s="24" customFormat="1" hidden="1" outlineLevel="2" x14ac:dyDescent="0.3">
      <c r="A96" s="27"/>
      <c r="B96" s="11" t="str">
        <f>CONCATENATE("          ", "6274", " - ", "UTILITIES")</f>
        <v xml:space="preserve">          6274 - UTILITIES</v>
      </c>
      <c r="C96" s="11"/>
      <c r="D96" s="7">
        <v>8150</v>
      </c>
      <c r="E96" s="2"/>
      <c r="F96" s="8">
        <f t="shared" si="68"/>
        <v>1.521933640780113E-2</v>
      </c>
      <c r="G96" s="2"/>
      <c r="H96" s="7">
        <v>2300</v>
      </c>
      <c r="I96" s="2"/>
      <c r="J96" s="8">
        <f t="shared" si="69"/>
        <v>4.2165456518064595E-2</v>
      </c>
      <c r="K96" s="2"/>
      <c r="L96" s="7">
        <f t="shared" si="70"/>
        <v>5850</v>
      </c>
      <c r="M96" s="2"/>
      <c r="N96" s="8">
        <f t="shared" si="71"/>
        <v>2.5434782608695654</v>
      </c>
      <c r="O96" s="11"/>
      <c r="P96" s="7">
        <v>16300</v>
      </c>
      <c r="Q96" s="2"/>
      <c r="R96" s="8">
        <f t="shared" si="72"/>
        <v>2.8191296243411192E-2</v>
      </c>
      <c r="S96" s="2"/>
      <c r="T96" s="7">
        <v>4600</v>
      </c>
      <c r="U96" s="2"/>
      <c r="V96" s="8">
        <f t="shared" si="73"/>
        <v>6.1456368984039375E-2</v>
      </c>
      <c r="W96" s="2"/>
      <c r="X96" s="7">
        <f t="shared" si="74"/>
        <v>11700</v>
      </c>
      <c r="Y96" s="2"/>
      <c r="Z96" s="8">
        <f t="shared" si="75"/>
        <v>2.5434782608695654</v>
      </c>
    </row>
    <row r="97" spans="1:26" s="61" customFormat="1" x14ac:dyDescent="0.3">
      <c r="A97" s="37"/>
      <c r="B97" s="37"/>
      <c r="C97" s="37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7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3">
      <c r="A98" s="10"/>
      <c r="B98" s="26" t="s">
        <v>292</v>
      </c>
      <c r="C98" s="10"/>
      <c r="D98" s="4">
        <f>SUM(OSRRefD25x_0)</f>
        <v>11546.83</v>
      </c>
      <c r="E98" s="4"/>
      <c r="F98" s="12">
        <f t="shared" ref="F98:F101" si="76">IF(D$12=0,0,D98/D$12)</f>
        <v>2.1562587756281022E-2</v>
      </c>
      <c r="G98" s="4"/>
      <c r="H98" s="4">
        <f>SUM(OSRRefH25x_0)</f>
        <v>737.84999999999991</v>
      </c>
      <c r="I98" s="4"/>
      <c r="J98" s="12">
        <f t="shared" ref="J98:J101" si="77">IF(H$12=0,0,H98/H$12)</f>
        <v>1.3526861779066939E-2</v>
      </c>
      <c r="K98" s="4"/>
      <c r="L98" s="4">
        <f t="shared" ref="L98:L101" si="78">+D98-H98</f>
        <v>10808.98</v>
      </c>
      <c r="M98" s="4"/>
      <c r="N98" s="12">
        <f t="shared" ref="N98:N101" si="79">IF(H98=0,0,L98/H98)</f>
        <v>14.649291861489464</v>
      </c>
      <c r="O98" s="10"/>
      <c r="P98" s="4">
        <f>SUM(OSRRefP25x_0)</f>
        <v>14202.250000000002</v>
      </c>
      <c r="Q98" s="4"/>
      <c r="R98" s="12">
        <f t="shared" ref="R98:R101" si="80">IF(P$12=0,0,P98/P$12)</f>
        <v>2.4563180188526788E-2</v>
      </c>
      <c r="S98" s="4"/>
      <c r="T98" s="4">
        <f>SUM(OSRRefT25x_0)</f>
        <v>2814.39</v>
      </c>
      <c r="U98" s="4"/>
      <c r="V98" s="12">
        <f t="shared" ref="V98:V101" si="81">IF(T$12=0,0,T98/T$12)</f>
        <v>3.7600476153258816E-2</v>
      </c>
      <c r="W98" s="4"/>
      <c r="X98" s="4">
        <f t="shared" ref="X98:X101" si="82">+P98-T98</f>
        <v>11387.860000000002</v>
      </c>
      <c r="Y98" s="4"/>
      <c r="Z98" s="12">
        <f t="shared" ref="Z98:Z101" si="83">IF(T98=0,0,X98/T98)</f>
        <v>4.0462977767828923</v>
      </c>
    </row>
    <row r="99" spans="1:26" s="24" customFormat="1" hidden="1" outlineLevel="1" x14ac:dyDescent="0.3">
      <c r="A99" s="44"/>
      <c r="B99" s="11" t="str">
        <f>CONCATENATE("          ", "9150", " - ", "MISC. INCOME")</f>
        <v xml:space="preserve">          9150 - MISC. INCOME</v>
      </c>
      <c r="C99" s="11"/>
      <c r="D99" s="2">
        <f>--1041.32</f>
        <v>1041.32</v>
      </c>
      <c r="E99" s="2"/>
      <c r="F99" s="19">
        <f t="shared" si="76"/>
        <v>1.9445643421069291E-3</v>
      </c>
      <c r="G99" s="2"/>
      <c r="H99" s="2">
        <f>--111.42</f>
        <v>111.42</v>
      </c>
      <c r="I99" s="2"/>
      <c r="J99" s="19">
        <f t="shared" si="77"/>
        <v>2.0426413761925034E-3</v>
      </c>
      <c r="K99" s="2"/>
      <c r="L99" s="2">
        <f t="shared" si="78"/>
        <v>929.9</v>
      </c>
      <c r="M99" s="2"/>
      <c r="N99" s="19">
        <f t="shared" si="79"/>
        <v>8.3458984024412128</v>
      </c>
      <c r="O99" s="11"/>
      <c r="P99" s="2">
        <f>--2458.62</f>
        <v>2458.62</v>
      </c>
      <c r="Q99" s="2"/>
      <c r="R99" s="19">
        <f t="shared" si="80"/>
        <v>4.2522505993850077E-3</v>
      </c>
      <c r="S99" s="2"/>
      <c r="T99" s="2">
        <f>--623.83</f>
        <v>623.83000000000004</v>
      </c>
      <c r="U99" s="2"/>
      <c r="V99" s="19">
        <f t="shared" si="81"/>
        <v>8.3344188398507147E-3</v>
      </c>
      <c r="W99" s="2"/>
      <c r="X99" s="2">
        <f t="shared" si="82"/>
        <v>1834.79</v>
      </c>
      <c r="Y99" s="2"/>
      <c r="Z99" s="19">
        <f t="shared" si="83"/>
        <v>2.9411698699966333</v>
      </c>
    </row>
    <row r="100" spans="1:26" s="24" customFormat="1" hidden="1" outlineLevel="1" x14ac:dyDescent="0.3">
      <c r="A100" s="44"/>
      <c r="B100" s="11" t="str">
        <f>CONCATENATE("          ", "9160", " - ", "MISC. INCOME")</f>
        <v xml:space="preserve">          9160 - MISC. INCOME</v>
      </c>
      <c r="C100" s="11"/>
      <c r="D100" s="2">
        <f>--10000</f>
        <v>10000</v>
      </c>
      <c r="E100" s="2"/>
      <c r="F100" s="19">
        <f t="shared" si="76"/>
        <v>1.8674032402209974E-2</v>
      </c>
      <c r="G100" s="2"/>
      <c r="H100" s="2">
        <f>--626.43</f>
        <v>626.42999999999995</v>
      </c>
      <c r="I100" s="2"/>
      <c r="J100" s="19">
        <f t="shared" si="77"/>
        <v>1.1484220402874435E-2</v>
      </c>
      <c r="K100" s="2"/>
      <c r="L100" s="2">
        <f t="shared" si="78"/>
        <v>9373.57</v>
      </c>
      <c r="M100" s="2"/>
      <c r="N100" s="19">
        <f t="shared" si="79"/>
        <v>14.963475567900645</v>
      </c>
      <c r="O100" s="11"/>
      <c r="P100" s="2">
        <f>--11238.12</f>
        <v>11238.12</v>
      </c>
      <c r="Q100" s="2"/>
      <c r="R100" s="19">
        <f t="shared" si="80"/>
        <v>1.9436636204846883E-2</v>
      </c>
      <c r="S100" s="2"/>
      <c r="T100" s="2">
        <f>--1990.06</f>
        <v>1990.06</v>
      </c>
      <c r="U100" s="2"/>
      <c r="V100" s="19">
        <f t="shared" si="81"/>
        <v>2.6587361230516825E-2</v>
      </c>
      <c r="W100" s="2"/>
      <c r="X100" s="2">
        <f t="shared" si="82"/>
        <v>9248.0600000000013</v>
      </c>
      <c r="Y100" s="2"/>
      <c r="Z100" s="19">
        <f t="shared" si="83"/>
        <v>4.6471262172999817</v>
      </c>
    </row>
    <row r="101" spans="1:26" s="24" customFormat="1" hidden="1" outlineLevel="1" x14ac:dyDescent="0.3">
      <c r="A101" s="44"/>
      <c r="B101" s="11" t="str">
        <f>CONCATENATE("          ", "9165", " - ", "OTHER INCOME")</f>
        <v xml:space="preserve">          9165 - OTHER INCOME</v>
      </c>
      <c r="C101" s="11"/>
      <c r="D101" s="2">
        <f>--505.51</f>
        <v>505.51</v>
      </c>
      <c r="E101" s="2"/>
      <c r="F101" s="19">
        <f t="shared" si="76"/>
        <v>9.4399101196411647E-4</v>
      </c>
      <c r="G101" s="2"/>
      <c r="H101" s="2">
        <f>0</f>
        <v>0</v>
      </c>
      <c r="I101" s="2"/>
      <c r="J101" s="19">
        <f t="shared" si="77"/>
        <v>0</v>
      </c>
      <c r="K101" s="2"/>
      <c r="L101" s="2">
        <f t="shared" si="78"/>
        <v>505.51</v>
      </c>
      <c r="M101" s="2"/>
      <c r="N101" s="19">
        <f t="shared" si="79"/>
        <v>0</v>
      </c>
      <c r="O101" s="11"/>
      <c r="P101" s="2">
        <f>--505.51</f>
        <v>505.51</v>
      </c>
      <c r="Q101" s="2"/>
      <c r="R101" s="19">
        <f t="shared" si="80"/>
        <v>8.7429338429489522E-4</v>
      </c>
      <c r="S101" s="2"/>
      <c r="T101" s="2">
        <f>--200.5</f>
        <v>200.5</v>
      </c>
      <c r="U101" s="2"/>
      <c r="V101" s="19">
        <f t="shared" si="81"/>
        <v>2.6786960828912815E-3</v>
      </c>
      <c r="W101" s="2"/>
      <c r="X101" s="2">
        <f t="shared" si="82"/>
        <v>305.01</v>
      </c>
      <c r="Y101" s="2"/>
      <c r="Z101" s="19">
        <f t="shared" si="83"/>
        <v>1.5212468827930175</v>
      </c>
    </row>
    <row r="102" spans="1:26" x14ac:dyDescent="0.3">
      <c r="A102" s="9"/>
      <c r="B102" s="10"/>
      <c r="C102" s="10"/>
      <c r="D102" s="3"/>
      <c r="E102" s="3"/>
      <c r="F102" s="6"/>
      <c r="G102" s="3"/>
      <c r="H102" s="3"/>
      <c r="I102" s="3"/>
      <c r="J102" s="6"/>
      <c r="K102" s="3"/>
      <c r="L102" s="3"/>
      <c r="M102" s="3"/>
      <c r="N102" s="6"/>
      <c r="O102" s="10"/>
      <c r="P102" s="3"/>
      <c r="Q102" s="3"/>
      <c r="R102" s="6"/>
      <c r="S102" s="3"/>
      <c r="T102" s="3"/>
      <c r="U102" s="3"/>
      <c r="V102" s="6"/>
      <c r="W102" s="3"/>
      <c r="X102" s="3"/>
      <c r="Y102" s="3"/>
      <c r="Z102" s="6"/>
    </row>
    <row r="103" spans="1:26" s="23" customFormat="1" x14ac:dyDescent="0.3">
      <c r="A103" s="10"/>
      <c r="B103" s="25" t="s">
        <v>276</v>
      </c>
      <c r="C103" s="25"/>
      <c r="D103" s="20">
        <f>+D23-D25+D98</f>
        <v>-157299.32999999999</v>
      </c>
      <c r="E103" s="13"/>
      <c r="F103" s="22">
        <f>IF(D$12=0,0,D103/D$12)</f>
        <v>-0.29374127852659193</v>
      </c>
      <c r="G103" s="13"/>
      <c r="H103" s="20">
        <f>+H23-H25+H98</f>
        <v>-277962.58000000007</v>
      </c>
      <c r="I103" s="13"/>
      <c r="J103" s="22">
        <f>IF(H$12=0,0,H103/H$12)</f>
        <v>-5.0958343828865456</v>
      </c>
      <c r="K103" s="15"/>
      <c r="L103" s="20">
        <f>+D103-H103</f>
        <v>120663.25000000009</v>
      </c>
      <c r="M103" s="15"/>
      <c r="N103" s="22">
        <f>IF(H103=0,0,L103/H103)</f>
        <v>-0.43409889921154154</v>
      </c>
      <c r="O103" s="26"/>
      <c r="P103" s="20">
        <f>+P23-P25+P98</f>
        <v>-474623.48999999982</v>
      </c>
      <c r="Q103" s="13"/>
      <c r="R103" s="22">
        <f>IF(P$12=0,0,P103/P$12)</f>
        <v>-0.82087431967311064</v>
      </c>
      <c r="S103" s="13"/>
      <c r="T103" s="20">
        <f>+T23-T25+T98</f>
        <v>-580367.9800000001</v>
      </c>
      <c r="U103" s="13"/>
      <c r="V103" s="22">
        <f>IF(T$12=0,0,T103/T$12)</f>
        <v>-7.7537627663916497</v>
      </c>
      <c r="W103" s="15"/>
      <c r="X103" s="20">
        <f>+P103-T103</f>
        <v>105744.49000000028</v>
      </c>
      <c r="Y103" s="15"/>
      <c r="Z103" s="22">
        <f>IF(T103=0,0,X103/T103)</f>
        <v>-0.18220248815243092</v>
      </c>
    </row>
    <row r="104" spans="1:26" x14ac:dyDescent="0.3">
      <c r="A104" s="9"/>
      <c r="B104" s="10"/>
      <c r="C104" s="9"/>
      <c r="D104" s="3"/>
      <c r="E104" s="3"/>
      <c r="F104" s="6"/>
      <c r="G104" s="3"/>
      <c r="H104" s="3"/>
      <c r="I104" s="3"/>
      <c r="J104" s="6"/>
      <c r="K104" s="3"/>
      <c r="L104" s="3"/>
      <c r="M104" s="3"/>
      <c r="N104" s="6"/>
      <c r="P104" s="3"/>
      <c r="Q104" s="3"/>
      <c r="R104" s="6"/>
      <c r="S104" s="3"/>
      <c r="T104" s="3"/>
      <c r="U104" s="3"/>
      <c r="V104" s="6"/>
      <c r="W104" s="3"/>
      <c r="X104" s="3"/>
      <c r="Y104" s="3"/>
      <c r="Z104" s="6"/>
    </row>
    <row r="105" spans="1:26" s="23" customFormat="1" x14ac:dyDescent="0.3">
      <c r="A105" s="51"/>
      <c r="B105" s="10" t="s">
        <v>127</v>
      </c>
      <c r="C105" s="10"/>
      <c r="D105" s="4">
        <v>66678.61</v>
      </c>
      <c r="E105" s="4"/>
      <c r="F105" s="12">
        <f>IF(D$12=0,0,D105/D$12)</f>
        <v>0.12451585236743221</v>
      </c>
      <c r="G105" s="4"/>
      <c r="H105" s="4">
        <v>2872.81</v>
      </c>
      <c r="I105" s="4"/>
      <c r="J105" s="12">
        <f>IF(H$12=0,0,H105/H$12)</f>
        <v>5.2666671799852675E-2</v>
      </c>
      <c r="K105" s="4"/>
      <c r="L105" s="4">
        <f>+D105-H105</f>
        <v>63805.8</v>
      </c>
      <c r="M105" s="4"/>
      <c r="N105" s="12">
        <f>IF(H105=0,0,L105/H105)</f>
        <v>22.210240148147633</v>
      </c>
      <c r="O105" s="10"/>
      <c r="P105" s="4">
        <v>86401.07</v>
      </c>
      <c r="Q105" s="4"/>
      <c r="R105" s="12">
        <f>IF(P$12=0,0,P105/P$12)</f>
        <v>0.14943301595814157</v>
      </c>
      <c r="S105" s="4"/>
      <c r="T105" s="4">
        <v>12637.39</v>
      </c>
      <c r="U105" s="4"/>
      <c r="V105" s="12">
        <f>IF(T$12=0,0,T105/T$12)</f>
        <v>0.16883654409461071</v>
      </c>
      <c r="W105" s="4"/>
      <c r="X105" s="4">
        <f>+P105-T105</f>
        <v>73763.680000000008</v>
      </c>
      <c r="Y105" s="4"/>
      <c r="Z105" s="12">
        <f>IF(T105=0,0,X105/T105)</f>
        <v>5.8369394313224499</v>
      </c>
    </row>
    <row r="106" spans="1:26" x14ac:dyDescent="0.3">
      <c r="A106" s="9"/>
      <c r="B106" s="10"/>
      <c r="C106" s="10"/>
      <c r="D106" s="3"/>
      <c r="E106" s="3"/>
      <c r="F106" s="6"/>
      <c r="G106" s="3"/>
      <c r="H106" s="3"/>
      <c r="I106" s="3"/>
      <c r="J106" s="6"/>
      <c r="K106" s="3"/>
      <c r="L106" s="3"/>
      <c r="M106" s="3"/>
      <c r="N106" s="6"/>
      <c r="O106" s="10"/>
      <c r="P106" s="3"/>
      <c r="Q106" s="3"/>
      <c r="R106" s="6"/>
      <c r="S106" s="3"/>
      <c r="T106" s="3"/>
      <c r="U106" s="3"/>
      <c r="V106" s="6"/>
      <c r="W106" s="3"/>
      <c r="X106" s="3"/>
      <c r="Y106" s="3"/>
      <c r="Z106" s="6"/>
    </row>
    <row r="107" spans="1:26" s="23" customFormat="1" ht="15" thickBot="1" x14ac:dyDescent="0.35">
      <c r="A107" s="10"/>
      <c r="B107" s="25" t="s">
        <v>125</v>
      </c>
      <c r="C107" s="25"/>
      <c r="D107" s="33">
        <f>+D103-D105</f>
        <v>-223977.94</v>
      </c>
      <c r="E107" s="13"/>
      <c r="F107" s="36">
        <f>IF(D$12=0,0,D107/D$12)</f>
        <v>-0.41825713089402417</v>
      </c>
      <c r="G107" s="13"/>
      <c r="H107" s="33">
        <f>+H103-H105</f>
        <v>-280835.39000000007</v>
      </c>
      <c r="I107" s="13"/>
      <c r="J107" s="36">
        <f>IF(H$12=0,0,H107/H$12)</f>
        <v>-5.1485010546863981</v>
      </c>
      <c r="K107" s="15"/>
      <c r="L107" s="33">
        <f>D107-H107</f>
        <v>56857.45000000007</v>
      </c>
      <c r="M107" s="15"/>
      <c r="N107" s="36">
        <f>IF(H107=0,0,L107/H107)</f>
        <v>-0.20245827991977811</v>
      </c>
      <c r="O107" s="26"/>
      <c r="P107" s="33">
        <f>+P103-P105</f>
        <v>-561024.55999999982</v>
      </c>
      <c r="Q107" s="13"/>
      <c r="R107" s="36">
        <f>IF(P$12=0,0,P107/P$12)</f>
        <v>-0.97030733563125227</v>
      </c>
      <c r="S107" s="13"/>
      <c r="T107" s="33">
        <f>+T103-T105</f>
        <v>-593005.37000000011</v>
      </c>
      <c r="U107" s="13"/>
      <c r="V107" s="36">
        <f>IF(T$12=0,0,T107/T$12)</f>
        <v>-7.9225993104862606</v>
      </c>
      <c r="W107" s="15"/>
      <c r="X107" s="33">
        <f>P107-T107</f>
        <v>31980.810000000289</v>
      </c>
      <c r="Y107" s="15"/>
      <c r="Z107" s="36">
        <f>IF(T107=0,0,X107/T107)</f>
        <v>-5.3930051257377792E-2</v>
      </c>
    </row>
    <row r="108" spans="1:26" ht="15" thickTop="1" x14ac:dyDescent="0.3">
      <c r="A108" s="9"/>
      <c r="B108" s="9"/>
      <c r="C108" s="9"/>
      <c r="D108" s="3"/>
      <c r="E108" s="3"/>
      <c r="F108" s="6"/>
      <c r="G108" s="3"/>
      <c r="H108" s="3"/>
      <c r="I108" s="3"/>
      <c r="J108" s="6"/>
      <c r="K108" s="3"/>
      <c r="L108" s="3"/>
      <c r="M108" s="3"/>
      <c r="N108" s="6"/>
      <c r="P108" s="3"/>
      <c r="Q108" s="3"/>
      <c r="R108" s="6"/>
      <c r="S108" s="3"/>
      <c r="T108" s="3"/>
      <c r="U108" s="3"/>
      <c r="V108" s="6"/>
      <c r="W108" s="3"/>
      <c r="X108" s="3"/>
      <c r="Y108" s="3"/>
      <c r="Z108" s="6"/>
    </row>
    <row r="109" spans="1:26" x14ac:dyDescent="0.3">
      <c r="A109" s="9"/>
      <c r="B109" s="9"/>
      <c r="C109" s="9"/>
      <c r="D109" s="3"/>
      <c r="E109" s="3"/>
      <c r="F109" s="6"/>
      <c r="G109" s="3"/>
      <c r="H109" s="3"/>
      <c r="I109" s="3"/>
      <c r="J109" s="6"/>
      <c r="K109" s="3"/>
      <c r="L109" s="3"/>
      <c r="M109" s="3"/>
      <c r="N109" s="6"/>
      <c r="P109" s="3"/>
      <c r="Q109" s="3"/>
      <c r="R109" s="6"/>
      <c r="S109" s="3"/>
      <c r="T109" s="3"/>
      <c r="U109" s="3"/>
      <c r="V109" s="6"/>
      <c r="W109" s="3"/>
      <c r="X109" s="3"/>
      <c r="Y109" s="3"/>
      <c r="Z109" s="6"/>
    </row>
    <row r="110" spans="1:26" s="23" customFormat="1" ht="15" thickBot="1" x14ac:dyDescent="0.35">
      <c r="A110" s="10"/>
      <c r="B110" s="25" t="s">
        <v>293</v>
      </c>
      <c r="C110" s="25"/>
      <c r="D110" s="30">
        <f>SUM(D107:D109)</f>
        <v>-223977.94</v>
      </c>
      <c r="E110" s="13"/>
      <c r="F110" s="31">
        <f>IF(D$12=0,0,D110/D$12)</f>
        <v>-0.41825713089402417</v>
      </c>
      <c r="G110" s="13"/>
      <c r="H110" s="30">
        <f>SUM(H107:H109)</f>
        <v>-280835.39000000007</v>
      </c>
      <c r="I110" s="13"/>
      <c r="J110" s="31">
        <f>IF(H$12=0,0,H110/H$12)</f>
        <v>-5.1485010546863981</v>
      </c>
      <c r="K110" s="15"/>
      <c r="L110" s="30">
        <f>+D110-H110</f>
        <v>56857.45000000007</v>
      </c>
      <c r="M110" s="15"/>
      <c r="N110" s="31">
        <f>IF(H110=0,0,L110/H110)</f>
        <v>-0.20245827991977811</v>
      </c>
      <c r="O110" s="26"/>
      <c r="P110" s="30">
        <f>SUM(P107:P109)</f>
        <v>-561024.55999999982</v>
      </c>
      <c r="Q110" s="13"/>
      <c r="R110" s="31">
        <f>IF(P$12=0,0,P110/P$12)</f>
        <v>-0.97030733563125227</v>
      </c>
      <c r="S110" s="13"/>
      <c r="T110" s="30">
        <f>SUM(T107:T109)</f>
        <v>-593005.37000000011</v>
      </c>
      <c r="U110" s="13"/>
      <c r="V110" s="31">
        <f>IF(T$12=0,0,T110/T$12)</f>
        <v>-7.9225993104862606</v>
      </c>
      <c r="W110" s="15"/>
      <c r="X110" s="30">
        <f>+P110-T110</f>
        <v>31980.810000000289</v>
      </c>
      <c r="Y110" s="15"/>
      <c r="Z110" s="31">
        <f>IF(T110=0,0,X110/T110)</f>
        <v>-5.3930051257377792E-2</v>
      </c>
    </row>
    <row r="111" spans="1:26" ht="15" thickTop="1" x14ac:dyDescent="0.3">
      <c r="A111" s="9"/>
      <c r="C111" s="9"/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3">
      <c r="A112" s="9"/>
      <c r="B112" s="59">
        <v>44470.840498229169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3">
      <c r="A113" s="9"/>
      <c r="B113" s="58" t="s">
        <v>56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3">
      <c r="A114" s="9"/>
      <c r="B114" s="52"/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3"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55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58943.909999999996</v>
      </c>
      <c r="E12" s="4"/>
      <c r="F12" s="12"/>
      <c r="G12" s="4"/>
      <c r="H12" s="4">
        <f>SUM(OSRRefH13x_0)</f>
        <v>5542.9399999999987</v>
      </c>
      <c r="I12" s="4"/>
      <c r="J12" s="12"/>
      <c r="K12" s="4"/>
      <c r="L12" s="4">
        <f t="shared" ref="L12:L23" si="0">+D12-H12</f>
        <v>53400.97</v>
      </c>
      <c r="M12" s="4"/>
      <c r="N12" s="12">
        <f t="shared" ref="N12:N23" si="1">IF(H12=0,0,L12/H12)</f>
        <v>9.6340516043832363</v>
      </c>
      <c r="O12" s="10"/>
      <c r="P12" s="4">
        <f>SUM(OSRRefP13x_0)</f>
        <v>78646.22</v>
      </c>
      <c r="Q12" s="4"/>
      <c r="R12" s="12"/>
      <c r="S12" s="4"/>
      <c r="T12" s="4">
        <f>SUM(OSRRefT13x_0)</f>
        <v>6517.8499999999985</v>
      </c>
      <c r="U12" s="4"/>
      <c r="V12" s="12"/>
      <c r="W12" s="4"/>
      <c r="X12" s="4">
        <f t="shared" ref="X12:X23" si="2">+P12-T12</f>
        <v>72128.37</v>
      </c>
      <c r="Y12" s="4"/>
      <c r="Z12" s="12">
        <f t="shared" ref="Z12:Z23" si="3">IF(T12=0,0,X12/T12)</f>
        <v>11.066282593186406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--1234.92</f>
        <v>1234.92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1234.92</v>
      </c>
      <c r="M13" s="2"/>
      <c r="N13" s="19">
        <f t="shared" si="1"/>
        <v>0</v>
      </c>
      <c r="O13" s="11"/>
      <c r="P13" s="2">
        <f>--1234.92</f>
        <v>1234.92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1234.92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4">0</f>
        <v>0</v>
      </c>
      <c r="E14" s="2"/>
      <c r="F14" s="19"/>
      <c r="G14" s="2"/>
      <c r="H14" s="2">
        <f>--88.2</f>
        <v>88.2</v>
      </c>
      <c r="I14" s="2"/>
      <c r="J14" s="19"/>
      <c r="K14" s="2"/>
      <c r="L14" s="2">
        <f t="shared" si="0"/>
        <v>-88.2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--88.2</f>
        <v>88.2</v>
      </c>
      <c r="U14" s="2"/>
      <c r="V14" s="19"/>
      <c r="W14" s="2"/>
      <c r="X14" s="2">
        <f t="shared" si="2"/>
        <v>-88.2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--20639.51</f>
        <v>20639.509999999998</v>
      </c>
      <c r="E16" s="2"/>
      <c r="F16" s="19"/>
      <c r="G16" s="2"/>
      <c r="H16" s="2">
        <f>--2510.72</f>
        <v>2510.7199999999998</v>
      </c>
      <c r="I16" s="2"/>
      <c r="J16" s="19"/>
      <c r="K16" s="2"/>
      <c r="L16" s="2">
        <f t="shared" si="0"/>
        <v>18128.789999999997</v>
      </c>
      <c r="M16" s="2"/>
      <c r="N16" s="19">
        <f t="shared" si="1"/>
        <v>7.2205542633188884</v>
      </c>
      <c r="O16" s="11"/>
      <c r="P16" s="2">
        <f>--31270.44</f>
        <v>31270.44</v>
      </c>
      <c r="Q16" s="2"/>
      <c r="R16" s="19"/>
      <c r="S16" s="2"/>
      <c r="T16" s="2">
        <f>--2510.72</f>
        <v>2510.7199999999998</v>
      </c>
      <c r="U16" s="2"/>
      <c r="V16" s="19"/>
      <c r="W16" s="2"/>
      <c r="X16" s="2">
        <f t="shared" si="2"/>
        <v>28759.719999999998</v>
      </c>
      <c r="Y16" s="2"/>
      <c r="Z16" s="19">
        <f t="shared" si="3"/>
        <v>11.454769946469538</v>
      </c>
    </row>
    <row r="17" spans="1:26" s="24" customFormat="1" hidden="1" outlineLevel="1" x14ac:dyDescent="0.3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>0</f>
        <v>0</v>
      </c>
      <c r="E17" s="2"/>
      <c r="F17" s="19"/>
      <c r="G17" s="2"/>
      <c r="H17" s="2">
        <f t="shared" ref="H17:H18" si="6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--974.91</f>
        <v>974.91</v>
      </c>
      <c r="U17" s="2"/>
      <c r="V17" s="19"/>
      <c r="W17" s="2"/>
      <c r="X17" s="2">
        <f t="shared" si="2"/>
        <v>-974.91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>--5299.87</f>
        <v>5299.87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5299.87</v>
      </c>
      <c r="M18" s="2"/>
      <c r="N18" s="19">
        <f t="shared" si="1"/>
        <v>0</v>
      </c>
      <c r="O18" s="11"/>
      <c r="P18" s="2">
        <f>--5299.87</f>
        <v>5299.87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5299.87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ref="D19:D21" si="7">0</f>
        <v>0</v>
      </c>
      <c r="E19" s="2"/>
      <c r="F19" s="19"/>
      <c r="G19" s="2"/>
      <c r="H19" s="2">
        <f>--625.8</f>
        <v>625.79999999999995</v>
      </c>
      <c r="I19" s="2"/>
      <c r="J19" s="19"/>
      <c r="K19" s="2"/>
      <c r="L19" s="2">
        <f t="shared" si="0"/>
        <v>-625.79999999999995</v>
      </c>
      <c r="M19" s="2"/>
      <c r="N19" s="19">
        <f t="shared" si="1"/>
        <v>-1</v>
      </c>
      <c r="O19" s="11"/>
      <c r="P19" s="2">
        <f t="shared" ref="P19:P21" si="8">0</f>
        <v>0</v>
      </c>
      <c r="Q19" s="2"/>
      <c r="R19" s="19"/>
      <c r="S19" s="2"/>
      <c r="T19" s="2">
        <f>--625.8</f>
        <v>625.79999999999995</v>
      </c>
      <c r="U19" s="2"/>
      <c r="V19" s="19"/>
      <c r="W19" s="2"/>
      <c r="X19" s="2">
        <f t="shared" si="2"/>
        <v>-625.79999999999995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"4134", " - ", "NON-TAXABLE SALES-SODA")</f>
        <v xml:space="preserve">          4134 - NON-TAXABLE SALES-SODA</v>
      </c>
      <c r="C20" s="11"/>
      <c r="D20" s="2">
        <f t="shared" si="7"/>
        <v>0</v>
      </c>
      <c r="E20" s="2"/>
      <c r="F20" s="19"/>
      <c r="G20" s="2"/>
      <c r="H20" s="2">
        <f t="shared" ref="H20:H21" si="9">0</f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8"/>
        <v>0</v>
      </c>
      <c r="Q20" s="2"/>
      <c r="R20" s="19"/>
      <c r="S20" s="2"/>
      <c r="T20" s="2">
        <f t="shared" ref="T20:T21" si="10">0</f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"4137", " - ", "NON-TAXABLE SALES-WATER")</f>
        <v xml:space="preserve">          4137 - NON-TAXABLE SALES-WATER</v>
      </c>
      <c r="C21" s="11"/>
      <c r="D21" s="2">
        <f t="shared" si="7"/>
        <v>0</v>
      </c>
      <c r="E21" s="2"/>
      <c r="F21" s="19"/>
      <c r="G21" s="2"/>
      <c r="H21" s="2">
        <f t="shared" si="9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8"/>
        <v>0</v>
      </c>
      <c r="Q21" s="2"/>
      <c r="R21" s="19"/>
      <c r="S21" s="2"/>
      <c r="T21" s="2">
        <f t="shared" si="10"/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"4151", " - ", "NON-TAXABLE SALES-FOOD")</f>
        <v xml:space="preserve">          4151 - NON-TAXABLE SALES-FOOD</v>
      </c>
      <c r="C22" s="11"/>
      <c r="D22" s="2">
        <f>--31639.26</f>
        <v>31639.26</v>
      </c>
      <c r="E22" s="2"/>
      <c r="F22" s="19"/>
      <c r="G22" s="2"/>
      <c r="H22" s="2">
        <f>--2208.22</f>
        <v>2208.2199999999998</v>
      </c>
      <c r="I22" s="2"/>
      <c r="J22" s="19"/>
      <c r="K22" s="2"/>
      <c r="L22" s="2">
        <f t="shared" si="0"/>
        <v>29431.039999999997</v>
      </c>
      <c r="M22" s="2"/>
      <c r="N22" s="19">
        <f t="shared" si="1"/>
        <v>13.327947396545634</v>
      </c>
      <c r="O22" s="11"/>
      <c r="P22" s="2">
        <f>--40710.64</f>
        <v>40710.639999999999</v>
      </c>
      <c r="Q22" s="2"/>
      <c r="R22" s="19"/>
      <c r="S22" s="2"/>
      <c r="T22" s="2">
        <f>--2208.22</f>
        <v>2208.2199999999998</v>
      </c>
      <c r="U22" s="2"/>
      <c r="V22" s="19"/>
      <c r="W22" s="2"/>
      <c r="X22" s="2">
        <f t="shared" si="2"/>
        <v>38502.42</v>
      </c>
      <c r="Y22" s="2"/>
      <c r="Z22" s="19">
        <f t="shared" si="3"/>
        <v>17.435952939471612</v>
      </c>
    </row>
    <row r="23" spans="1:26" s="24" customFormat="1" hidden="1" outlineLevel="1" x14ac:dyDescent="0.3">
      <c r="A23" s="44"/>
      <c r="B23" s="11" t="str">
        <f>CONCATENATE("          ", "4153", " - ", "NON-TAXABLE SALES-FOOD")</f>
        <v xml:space="preserve">          4153 - NON-TAXABLE SALES-FOOD</v>
      </c>
      <c r="C23" s="11"/>
      <c r="D23" s="2">
        <f>--130.35</f>
        <v>130.35</v>
      </c>
      <c r="E23" s="2"/>
      <c r="F23" s="19"/>
      <c r="G23" s="2"/>
      <c r="H23" s="2">
        <f>--110</f>
        <v>110</v>
      </c>
      <c r="I23" s="2"/>
      <c r="J23" s="19"/>
      <c r="K23" s="2"/>
      <c r="L23" s="2">
        <f t="shared" si="0"/>
        <v>20.349999999999994</v>
      </c>
      <c r="M23" s="2"/>
      <c r="N23" s="19">
        <f t="shared" si="1"/>
        <v>0.18499999999999994</v>
      </c>
      <c r="O23" s="11"/>
      <c r="P23" s="2">
        <f>--130.35</f>
        <v>130.35</v>
      </c>
      <c r="Q23" s="2"/>
      <c r="R23" s="19"/>
      <c r="S23" s="2"/>
      <c r="T23" s="2">
        <f>--110</f>
        <v>110</v>
      </c>
      <c r="U23" s="2"/>
      <c r="V23" s="19"/>
      <c r="W23" s="2"/>
      <c r="X23" s="2">
        <f t="shared" si="2"/>
        <v>20.349999999999994</v>
      </c>
      <c r="Y23" s="2"/>
      <c r="Z23" s="19">
        <f t="shared" si="3"/>
        <v>0.18499999999999994</v>
      </c>
    </row>
    <row r="24" spans="1:26" x14ac:dyDescent="0.3">
      <c r="A24" s="9"/>
      <c r="B24" s="10"/>
      <c r="C24" s="9"/>
      <c r="D24" s="3"/>
      <c r="E24" s="3"/>
      <c r="F24" s="6"/>
      <c r="G24" s="3"/>
      <c r="H24" s="3"/>
      <c r="I24" s="3"/>
      <c r="J24" s="6"/>
      <c r="K24" s="3"/>
      <c r="L24" s="3"/>
      <c r="M24" s="3"/>
      <c r="N24" s="6"/>
      <c r="P24" s="3"/>
      <c r="Q24" s="3"/>
      <c r="R24" s="6"/>
      <c r="S24" s="3"/>
      <c r="T24" s="3"/>
      <c r="U24" s="3"/>
      <c r="V24" s="6"/>
      <c r="W24" s="3"/>
      <c r="X24" s="3"/>
      <c r="Y24" s="3"/>
      <c r="Z24" s="6"/>
    </row>
    <row r="25" spans="1:26" s="23" customFormat="1" collapsed="1" x14ac:dyDescent="0.3">
      <c r="A25" s="10"/>
      <c r="B25" s="26" t="s">
        <v>256</v>
      </c>
      <c r="C25" s="10"/>
      <c r="D25" s="4">
        <f>SUM(OSRRefD16x_0)</f>
        <v>17383.61</v>
      </c>
      <c r="E25" s="4"/>
      <c r="F25" s="12">
        <f t="shared" ref="F25:F27" si="11">IF(D$12=0,0,D25/D$12)</f>
        <v>0.29491782950944384</v>
      </c>
      <c r="G25" s="4"/>
      <c r="H25" s="4">
        <f>SUM(OSRRefH16x_0)</f>
        <v>2203.17</v>
      </c>
      <c r="I25" s="4"/>
      <c r="J25" s="12">
        <f t="shared" ref="J25:J27" si="12">IF(H$12=0,0,H25/H$12)</f>
        <v>0.39747318210191712</v>
      </c>
      <c r="K25" s="4"/>
      <c r="L25" s="4">
        <f t="shared" ref="L25:L27" si="13">+D25-H25</f>
        <v>15180.44</v>
      </c>
      <c r="M25" s="4"/>
      <c r="N25" s="12">
        <f t="shared" ref="N25:N27" si="14">IF(H25=0,0,L25/H25)</f>
        <v>6.8902717448040773</v>
      </c>
      <c r="O25" s="10"/>
      <c r="P25" s="4">
        <f>SUM(OSRRefP16x_0)</f>
        <v>22442.989999999998</v>
      </c>
      <c r="Q25" s="4"/>
      <c r="R25" s="12">
        <f t="shared" ref="R25:R27" si="15">IF(P$12=0,0,P25/P$12)</f>
        <v>0.28536641684749753</v>
      </c>
      <c r="S25" s="4"/>
      <c r="T25" s="4">
        <f>SUM(OSRRefT16x_0)</f>
        <v>1976.3000000000002</v>
      </c>
      <c r="U25" s="4"/>
      <c r="V25" s="12">
        <f t="shared" ref="V25:V27" si="16">IF(T$12=0,0,T25/T$12)</f>
        <v>0.30321348297368006</v>
      </c>
      <c r="W25" s="4"/>
      <c r="X25" s="4">
        <f t="shared" ref="X25:X27" si="17">+P25-T25</f>
        <v>20466.689999999999</v>
      </c>
      <c r="Y25" s="4"/>
      <c r="Z25" s="12">
        <f t="shared" ref="Z25:Z27" si="18">IF(T25=0,0,X25/T25)</f>
        <v>10.356064362697969</v>
      </c>
    </row>
    <row r="26" spans="1:26" s="24" customFormat="1" hidden="1" outlineLevel="1" x14ac:dyDescent="0.3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52132.61</v>
      </c>
      <c r="E26" s="2"/>
      <c r="F26" s="19">
        <f t="shared" si="11"/>
        <v>0.88444438110739521</v>
      </c>
      <c r="G26" s="2"/>
      <c r="H26" s="2">
        <v>2089.2600000000002</v>
      </c>
      <c r="I26" s="2"/>
      <c r="J26" s="19">
        <f t="shared" si="12"/>
        <v>0.37692271610372846</v>
      </c>
      <c r="K26" s="2"/>
      <c r="L26" s="2">
        <f t="shared" si="13"/>
        <v>50043.35</v>
      </c>
      <c r="M26" s="2"/>
      <c r="N26" s="19">
        <f t="shared" si="14"/>
        <v>23.952667451633591</v>
      </c>
      <c r="O26" s="11"/>
      <c r="P26" s="2">
        <v>60356.99</v>
      </c>
      <c r="Q26" s="2"/>
      <c r="R26" s="19">
        <f t="shared" si="15"/>
        <v>0.76744934467289083</v>
      </c>
      <c r="S26" s="2"/>
      <c r="T26" s="2">
        <v>1862.39</v>
      </c>
      <c r="U26" s="2"/>
      <c r="V26" s="19">
        <f t="shared" si="16"/>
        <v>0.28573686108149166</v>
      </c>
      <c r="W26" s="2"/>
      <c r="X26" s="2">
        <f t="shared" si="17"/>
        <v>58494.6</v>
      </c>
      <c r="Y26" s="2"/>
      <c r="Z26" s="19">
        <f t="shared" si="18"/>
        <v>31.408351634190474</v>
      </c>
    </row>
    <row r="27" spans="1:26" s="24" customFormat="1" hidden="1" outlineLevel="1" x14ac:dyDescent="0.3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-34749</v>
      </c>
      <c r="E27" s="2"/>
      <c r="F27" s="19">
        <f t="shared" si="11"/>
        <v>-0.58952655159795142</v>
      </c>
      <c r="G27" s="2"/>
      <c r="H27" s="2">
        <v>113.91</v>
      </c>
      <c r="I27" s="2"/>
      <c r="J27" s="19">
        <f t="shared" si="12"/>
        <v>2.0550465998188692E-2</v>
      </c>
      <c r="K27" s="2"/>
      <c r="L27" s="2">
        <f t="shared" si="13"/>
        <v>-34862.910000000003</v>
      </c>
      <c r="M27" s="2"/>
      <c r="N27" s="19">
        <f t="shared" si="14"/>
        <v>-306.05662365025023</v>
      </c>
      <c r="O27" s="11"/>
      <c r="P27" s="2">
        <v>-37914</v>
      </c>
      <c r="Q27" s="2"/>
      <c r="R27" s="19">
        <f t="shared" si="15"/>
        <v>-0.48208292782539325</v>
      </c>
      <c r="S27" s="2"/>
      <c r="T27" s="2">
        <v>113.91</v>
      </c>
      <c r="U27" s="2"/>
      <c r="V27" s="19">
        <f t="shared" si="16"/>
        <v>1.747662189218838E-2</v>
      </c>
      <c r="W27" s="2"/>
      <c r="X27" s="2">
        <f t="shared" si="17"/>
        <v>-38027.910000000003</v>
      </c>
      <c r="Y27" s="2"/>
      <c r="Z27" s="19">
        <f t="shared" si="18"/>
        <v>-333.84171714511461</v>
      </c>
    </row>
    <row r="28" spans="1:26" x14ac:dyDescent="0.3">
      <c r="A28" s="9"/>
      <c r="B28" s="10"/>
      <c r="C28" s="10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O28" s="10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10"/>
      <c r="B29" s="25" t="s">
        <v>107</v>
      </c>
      <c r="C29" s="25"/>
      <c r="D29" s="20">
        <f>D12-D25</f>
        <v>41560.299999999996</v>
      </c>
      <c r="E29" s="13"/>
      <c r="F29" s="22">
        <f>IF(D$12=0,0,D29/D$12)</f>
        <v>0.70508217049055621</v>
      </c>
      <c r="G29" s="13"/>
      <c r="H29" s="20">
        <f>H12-H25</f>
        <v>3339.7699999999986</v>
      </c>
      <c r="I29" s="13"/>
      <c r="J29" s="22">
        <f>IF(H$12=0,0,H29/H$12)</f>
        <v>0.60252681789808282</v>
      </c>
      <c r="K29" s="15"/>
      <c r="L29" s="20">
        <f>+D29-H29</f>
        <v>38220.53</v>
      </c>
      <c r="M29" s="15"/>
      <c r="N29" s="22">
        <f>IF(H29=0,0,L29/H29)</f>
        <v>11.444060519137549</v>
      </c>
      <c r="O29" s="26"/>
      <c r="P29" s="20">
        <f>P12-P25</f>
        <v>56203.23</v>
      </c>
      <c r="Q29" s="13"/>
      <c r="R29" s="22">
        <f>IF(P$12=0,0,P29/P$12)</f>
        <v>0.71463358315250247</v>
      </c>
      <c r="S29" s="13"/>
      <c r="T29" s="20">
        <f>T12-T25</f>
        <v>4541.5499999999984</v>
      </c>
      <c r="U29" s="13"/>
      <c r="V29" s="22">
        <f>IF(T$12=0,0,T29/T$12)</f>
        <v>0.69678651702631988</v>
      </c>
      <c r="W29" s="15"/>
      <c r="X29" s="20">
        <f>+P29-T29</f>
        <v>51661.680000000008</v>
      </c>
      <c r="Y29" s="15"/>
      <c r="Z29" s="22">
        <f>IF(T29=0,0,X29/T29)</f>
        <v>11.375341017934412</v>
      </c>
    </row>
    <row r="30" spans="1:26" x14ac:dyDescent="0.3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6" t="s">
        <v>294</v>
      </c>
      <c r="C31" s="10"/>
      <c r="D31" s="21">
        <f>SUM(OSRRefD22x_0)</f>
        <v>229400.47999999998</v>
      </c>
      <c r="E31" s="21"/>
      <c r="F31" s="32">
        <f t="shared" ref="F31:F40" si="19">IF(D$12=0,0,D31/D$12)</f>
        <v>3.8918436187894558</v>
      </c>
      <c r="G31" s="21"/>
      <c r="H31" s="21">
        <f>SUM(OSRRefH22x_0)</f>
        <v>114815.22</v>
      </c>
      <c r="I31" s="21"/>
      <c r="J31" s="32">
        <f t="shared" ref="J31:J40" si="20">IF(H$12=0,0,H31/H$12)</f>
        <v>20.713776443548014</v>
      </c>
      <c r="K31" s="4"/>
      <c r="L31" s="21">
        <f t="shared" ref="L31:L40" si="21">+D31-H31</f>
        <v>114585.25999999998</v>
      </c>
      <c r="M31" s="4"/>
      <c r="N31" s="32">
        <f t="shared" ref="N31:N40" si="22">IF(H31=0,0,L31/H31)</f>
        <v>0.99799712964883902</v>
      </c>
      <c r="O31" s="10"/>
      <c r="P31" s="21">
        <f>SUM(OSRRefP22x_0)</f>
        <v>387181.50999999995</v>
      </c>
      <c r="Q31" s="21"/>
      <c r="R31" s="32">
        <f t="shared" ref="R31:R40" si="23">IF(P$12=0,0,P31/P$12)</f>
        <v>4.9230784391163356</v>
      </c>
      <c r="S31" s="21"/>
      <c r="T31" s="21">
        <f>SUM(OSRRefT22x_0)</f>
        <v>277215.45</v>
      </c>
      <c r="U31" s="21"/>
      <c r="V31" s="32">
        <f t="shared" ref="V31:V40" si="24">IF(T$12=0,0,T31/T$12)</f>
        <v>42.531732089569424</v>
      </c>
      <c r="W31" s="4"/>
      <c r="X31" s="21">
        <f t="shared" ref="X31:X40" si="25">+P31-T31</f>
        <v>109966.05999999994</v>
      </c>
      <c r="Y31" s="4"/>
      <c r="Z31" s="32">
        <f t="shared" ref="Z31:Z40" si="26">IF(T31=0,0,X31/T31)</f>
        <v>0.39668084877664622</v>
      </c>
    </row>
    <row r="32" spans="1:26" s="28" customFormat="1" outlineLevel="1" collapsed="1" x14ac:dyDescent="0.3">
      <c r="A32" s="29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28199.300000000003</v>
      </c>
      <c r="E32" s="1"/>
      <c r="F32" s="5">
        <f t="shared" si="19"/>
        <v>0.47840905023097391</v>
      </c>
      <c r="G32" s="1"/>
      <c r="H32" s="1">
        <f>SUM(OSRRefH22_0x_0)</f>
        <v>27260.259999999995</v>
      </c>
      <c r="I32" s="1"/>
      <c r="J32" s="5">
        <f t="shared" si="20"/>
        <v>4.9180146276163912</v>
      </c>
      <c r="K32" s="1"/>
      <c r="L32" s="1">
        <f t="shared" si="21"/>
        <v>939.04000000000815</v>
      </c>
      <c r="M32" s="1"/>
      <c r="N32" s="5">
        <f t="shared" si="22"/>
        <v>3.4447213636260562E-2</v>
      </c>
      <c r="O32" s="14"/>
      <c r="P32" s="1">
        <f>SUM(OSRRefP22_0x_0)</f>
        <v>53534.36</v>
      </c>
      <c r="Q32" s="1"/>
      <c r="R32" s="5">
        <f t="shared" si="23"/>
        <v>0.6806984493342465</v>
      </c>
      <c r="S32" s="1"/>
      <c r="T32" s="1">
        <f>SUM(OSRRefT22_0x_0)</f>
        <v>62228.93</v>
      </c>
      <c r="U32" s="1"/>
      <c r="V32" s="5">
        <f t="shared" si="24"/>
        <v>9.5474627369454677</v>
      </c>
      <c r="W32" s="1"/>
      <c r="X32" s="1">
        <f t="shared" si="25"/>
        <v>-8694.57</v>
      </c>
      <c r="Y32" s="1"/>
      <c r="Z32" s="5">
        <f t="shared" si="26"/>
        <v>-0.13971909849647102</v>
      </c>
    </row>
    <row r="33" spans="1:26" s="24" customFormat="1" hidden="1" outlineLevel="2" x14ac:dyDescent="0.3">
      <c r="A33" s="27"/>
      <c r="B33" s="11" t="str">
        <f>CONCATENATE("          ", "6111", " - ", "F.I.C.A.")</f>
        <v xml:space="preserve">          6111 - F.I.C.A.</v>
      </c>
      <c r="C33" s="11"/>
      <c r="D33" s="7">
        <v>4424.72</v>
      </c>
      <c r="E33" s="2"/>
      <c r="F33" s="8">
        <f t="shared" si="19"/>
        <v>7.5066618417407333E-2</v>
      </c>
      <c r="G33" s="2"/>
      <c r="H33" s="7">
        <v>3115.33</v>
      </c>
      <c r="I33" s="2"/>
      <c r="J33" s="8">
        <f t="shared" si="20"/>
        <v>0.5620356706008004</v>
      </c>
      <c r="K33" s="2"/>
      <c r="L33" s="7">
        <f t="shared" si="21"/>
        <v>1309.3900000000003</v>
      </c>
      <c r="M33" s="2"/>
      <c r="N33" s="8">
        <f t="shared" si="22"/>
        <v>0.42030539300812447</v>
      </c>
      <c r="O33" s="11"/>
      <c r="P33" s="7">
        <v>7623.28</v>
      </c>
      <c r="Q33" s="2"/>
      <c r="R33" s="8">
        <f t="shared" si="23"/>
        <v>9.6931295617259161E-2</v>
      </c>
      <c r="S33" s="2"/>
      <c r="T33" s="7">
        <v>6591.16</v>
      </c>
      <c r="U33" s="2"/>
      <c r="V33" s="8">
        <f t="shared" si="24"/>
        <v>1.0112475739699442</v>
      </c>
      <c r="W33" s="2"/>
      <c r="X33" s="7">
        <f t="shared" si="25"/>
        <v>1032.1199999999999</v>
      </c>
      <c r="Y33" s="2"/>
      <c r="Z33" s="8">
        <f t="shared" si="26"/>
        <v>0.15659155596283506</v>
      </c>
    </row>
    <row r="34" spans="1:26" s="24" customFormat="1" hidden="1" outlineLevel="2" x14ac:dyDescent="0.3">
      <c r="A34" s="27"/>
      <c r="B34" s="11" t="str">
        <f>CONCATENATE("          ", "6112", " - ", "COMPENSATION INSURANCE")</f>
        <v xml:space="preserve">          6112 - COMPENSATION INSURANCE</v>
      </c>
      <c r="C34" s="11"/>
      <c r="D34" s="7">
        <v>1624.76</v>
      </c>
      <c r="E34" s="2"/>
      <c r="F34" s="8">
        <f t="shared" si="19"/>
        <v>2.756451005710344E-2</v>
      </c>
      <c r="G34" s="2"/>
      <c r="H34" s="7">
        <v>777.33</v>
      </c>
      <c r="I34" s="2"/>
      <c r="J34" s="8">
        <f t="shared" si="20"/>
        <v>0.14023785211458184</v>
      </c>
      <c r="K34" s="2"/>
      <c r="L34" s="7">
        <f t="shared" si="21"/>
        <v>847.43</v>
      </c>
      <c r="M34" s="2"/>
      <c r="N34" s="8">
        <f t="shared" si="22"/>
        <v>1.0901804896247409</v>
      </c>
      <c r="O34" s="11"/>
      <c r="P34" s="7">
        <v>2731.38</v>
      </c>
      <c r="Q34" s="2"/>
      <c r="R34" s="8">
        <f t="shared" si="23"/>
        <v>3.472995904952584E-2</v>
      </c>
      <c r="S34" s="2"/>
      <c r="T34" s="7">
        <v>1516.01</v>
      </c>
      <c r="U34" s="2"/>
      <c r="V34" s="8">
        <f t="shared" si="24"/>
        <v>0.23259356996555619</v>
      </c>
      <c r="W34" s="2"/>
      <c r="X34" s="7">
        <f t="shared" si="25"/>
        <v>1215.3700000000001</v>
      </c>
      <c r="Y34" s="2"/>
      <c r="Z34" s="8">
        <f t="shared" si="26"/>
        <v>0.80168996246726609</v>
      </c>
    </row>
    <row r="35" spans="1:26" s="24" customFormat="1" hidden="1" outlineLevel="2" x14ac:dyDescent="0.3">
      <c r="A35" s="27"/>
      <c r="B35" s="11" t="str">
        <f>CONCATENATE("          ", "6113", " - ", "GROUP INSURANCE")</f>
        <v xml:space="preserve">          6113 - GROUP INSURANCE</v>
      </c>
      <c r="C35" s="11"/>
      <c r="D35" s="7">
        <v>12571.09</v>
      </c>
      <c r="E35" s="2"/>
      <c r="F35" s="8">
        <f t="shared" si="19"/>
        <v>0.21327207509647733</v>
      </c>
      <c r="G35" s="2"/>
      <c r="H35" s="7">
        <v>13367.12</v>
      </c>
      <c r="I35" s="2"/>
      <c r="J35" s="8">
        <f t="shared" si="20"/>
        <v>2.4115577653736113</v>
      </c>
      <c r="K35" s="2"/>
      <c r="L35" s="7">
        <f t="shared" si="21"/>
        <v>-796.03000000000065</v>
      </c>
      <c r="M35" s="2"/>
      <c r="N35" s="8">
        <f t="shared" si="22"/>
        <v>-5.9551346886988418E-2</v>
      </c>
      <c r="O35" s="11"/>
      <c r="P35" s="7">
        <v>24503.68</v>
      </c>
      <c r="Q35" s="2"/>
      <c r="R35" s="8">
        <f t="shared" si="23"/>
        <v>0.31156843901715808</v>
      </c>
      <c r="S35" s="2"/>
      <c r="T35" s="7">
        <v>31606.21</v>
      </c>
      <c r="U35" s="2"/>
      <c r="V35" s="8">
        <f t="shared" si="24"/>
        <v>4.8491772593723397</v>
      </c>
      <c r="W35" s="2"/>
      <c r="X35" s="7">
        <f t="shared" si="25"/>
        <v>-7102.5299999999988</v>
      </c>
      <c r="Y35" s="2"/>
      <c r="Z35" s="8">
        <f t="shared" si="26"/>
        <v>-0.22471944595698121</v>
      </c>
    </row>
    <row r="36" spans="1:26" s="24" customFormat="1" hidden="1" outlineLevel="2" x14ac:dyDescent="0.3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7">
        <v>149.68</v>
      </c>
      <c r="E36" s="2"/>
      <c r="F36" s="8">
        <f t="shared" si="19"/>
        <v>2.5393632692503774E-3</v>
      </c>
      <c r="G36" s="2"/>
      <c r="H36" s="7">
        <v>107.66</v>
      </c>
      <c r="I36" s="2"/>
      <c r="J36" s="8">
        <f t="shared" si="20"/>
        <v>1.9422905533886353E-2</v>
      </c>
      <c r="K36" s="2"/>
      <c r="L36" s="7">
        <f t="shared" si="21"/>
        <v>42.02000000000001</v>
      </c>
      <c r="M36" s="2"/>
      <c r="N36" s="8">
        <f t="shared" si="22"/>
        <v>0.39030280512725257</v>
      </c>
      <c r="O36" s="11"/>
      <c r="P36" s="7">
        <v>258.38</v>
      </c>
      <c r="Q36" s="2"/>
      <c r="R36" s="8">
        <f t="shared" si="23"/>
        <v>3.2853454368181965E-3</v>
      </c>
      <c r="S36" s="2"/>
      <c r="T36" s="7">
        <v>213.47</v>
      </c>
      <c r="U36" s="2"/>
      <c r="V36" s="8">
        <f t="shared" si="24"/>
        <v>3.2751597535997309E-2</v>
      </c>
      <c r="W36" s="2"/>
      <c r="X36" s="7">
        <f t="shared" si="25"/>
        <v>44.91</v>
      </c>
      <c r="Y36" s="2"/>
      <c r="Z36" s="8">
        <f t="shared" si="26"/>
        <v>0.21038084976811727</v>
      </c>
    </row>
    <row r="37" spans="1:26" s="24" customFormat="1" hidden="1" outlineLevel="2" x14ac:dyDescent="0.3">
      <c r="A37" s="27"/>
      <c r="B37" s="11" t="str">
        <f>CONCATENATE("          ", "6115", " - ", "P.E.R.S.")</f>
        <v xml:space="preserve">          6115 - P.E.R.S.</v>
      </c>
      <c r="C37" s="11"/>
      <c r="D37" s="7">
        <v>3152.51</v>
      </c>
      <c r="E37" s="2"/>
      <c r="F37" s="8">
        <f t="shared" si="19"/>
        <v>5.3483218198453419E-2</v>
      </c>
      <c r="G37" s="2"/>
      <c r="H37" s="7">
        <v>3683.98</v>
      </c>
      <c r="I37" s="2"/>
      <c r="J37" s="8">
        <f t="shared" si="20"/>
        <v>0.66462563188488433</v>
      </c>
      <c r="K37" s="2"/>
      <c r="L37" s="7">
        <f t="shared" si="21"/>
        <v>-531.4699999999998</v>
      </c>
      <c r="M37" s="2"/>
      <c r="N37" s="8">
        <f t="shared" si="22"/>
        <v>-0.14426516973490622</v>
      </c>
      <c r="O37" s="11"/>
      <c r="P37" s="7">
        <v>6141.54</v>
      </c>
      <c r="Q37" s="2"/>
      <c r="R37" s="8">
        <f t="shared" si="23"/>
        <v>7.8090720698337446E-2</v>
      </c>
      <c r="S37" s="2"/>
      <c r="T37" s="7">
        <v>10195.11</v>
      </c>
      <c r="U37" s="2"/>
      <c r="V37" s="8">
        <f t="shared" si="24"/>
        <v>1.5641829744470956</v>
      </c>
      <c r="W37" s="2"/>
      <c r="X37" s="7">
        <f t="shared" si="25"/>
        <v>-4053.5700000000006</v>
      </c>
      <c r="Y37" s="2"/>
      <c r="Z37" s="8">
        <f t="shared" si="26"/>
        <v>-0.39759943737733094</v>
      </c>
    </row>
    <row r="38" spans="1:26" s="24" customFormat="1" hidden="1" outlineLevel="2" x14ac:dyDescent="0.3">
      <c r="A38" s="27"/>
      <c r="B38" s="11" t="str">
        <f>CONCATENATE("          ", "6118", " - ", "VACATION")</f>
        <v xml:space="preserve">          6118 - VACATION</v>
      </c>
      <c r="C38" s="11"/>
      <c r="D38" s="7">
        <v>2973.5</v>
      </c>
      <c r="E38" s="2"/>
      <c r="F38" s="8">
        <f t="shared" si="19"/>
        <v>5.0446263235676088E-2</v>
      </c>
      <c r="G38" s="2"/>
      <c r="H38" s="7">
        <v>3208.6</v>
      </c>
      <c r="I38" s="2"/>
      <c r="J38" s="8">
        <f t="shared" si="20"/>
        <v>0.57886248092167703</v>
      </c>
      <c r="K38" s="2"/>
      <c r="L38" s="7">
        <f t="shared" si="21"/>
        <v>-235.09999999999991</v>
      </c>
      <c r="M38" s="2"/>
      <c r="N38" s="8">
        <f t="shared" si="22"/>
        <v>-7.3271831951629965E-2</v>
      </c>
      <c r="O38" s="11"/>
      <c r="P38" s="7">
        <v>5928.44</v>
      </c>
      <c r="Q38" s="2"/>
      <c r="R38" s="8">
        <f t="shared" si="23"/>
        <v>7.5381118126211274E-2</v>
      </c>
      <c r="S38" s="2"/>
      <c r="T38" s="7">
        <v>6567.81</v>
      </c>
      <c r="U38" s="2"/>
      <c r="V38" s="8">
        <f t="shared" si="24"/>
        <v>1.0076651042905256</v>
      </c>
      <c r="W38" s="2"/>
      <c r="X38" s="7">
        <f t="shared" si="25"/>
        <v>-639.3700000000008</v>
      </c>
      <c r="Y38" s="2"/>
      <c r="Z38" s="8">
        <f t="shared" si="26"/>
        <v>-9.7349040243247101E-2</v>
      </c>
    </row>
    <row r="39" spans="1:26" s="24" customFormat="1" hidden="1" outlineLevel="2" x14ac:dyDescent="0.3">
      <c r="A39" s="27"/>
      <c r="B39" s="11" t="str">
        <f>CONCATENATE("          ", "6119", " - ", "SICK LEAVE")</f>
        <v xml:space="preserve">          6119 - SICK LEAVE</v>
      </c>
      <c r="C39" s="11"/>
      <c r="D39" s="7">
        <v>1911.66</v>
      </c>
      <c r="E39" s="2"/>
      <c r="F39" s="8">
        <f t="shared" si="19"/>
        <v>3.2431849193580817E-2</v>
      </c>
      <c r="G39" s="2"/>
      <c r="H39" s="7">
        <v>1945.96</v>
      </c>
      <c r="I39" s="2"/>
      <c r="J39" s="8">
        <f t="shared" si="20"/>
        <v>0.35107000977820446</v>
      </c>
      <c r="K39" s="2"/>
      <c r="L39" s="7">
        <f t="shared" si="21"/>
        <v>-34.299999999999955</v>
      </c>
      <c r="M39" s="2"/>
      <c r="N39" s="8">
        <f t="shared" si="22"/>
        <v>-1.7626261588110727E-2</v>
      </c>
      <c r="O39" s="11"/>
      <c r="P39" s="7">
        <v>3810.44</v>
      </c>
      <c r="Q39" s="2"/>
      <c r="R39" s="8">
        <f t="shared" si="23"/>
        <v>4.8450389605501701E-2</v>
      </c>
      <c r="S39" s="2"/>
      <c r="T39" s="7">
        <v>4175.1499999999996</v>
      </c>
      <c r="U39" s="2"/>
      <c r="V39" s="8">
        <f t="shared" si="24"/>
        <v>0.64057166090045037</v>
      </c>
      <c r="W39" s="2"/>
      <c r="X39" s="7">
        <f t="shared" si="25"/>
        <v>-364.70999999999958</v>
      </c>
      <c r="Y39" s="2"/>
      <c r="Z39" s="8">
        <f t="shared" si="26"/>
        <v>-8.735255020777688E-2</v>
      </c>
    </row>
    <row r="40" spans="1:26" s="24" customFormat="1" hidden="1" outlineLevel="2" x14ac:dyDescent="0.3">
      <c r="A40" s="27"/>
      <c r="B40" s="11" t="str">
        <f>CONCATENATE("          ", "6156", " - ", "EMPLOYEE MEALS")</f>
        <v xml:space="preserve">          6156 - EMPLOYEE MEALS</v>
      </c>
      <c r="C40" s="11"/>
      <c r="D40" s="7">
        <v>1391.38</v>
      </c>
      <c r="E40" s="2"/>
      <c r="F40" s="8">
        <f t="shared" si="19"/>
        <v>2.3605152763025057E-2</v>
      </c>
      <c r="G40" s="2"/>
      <c r="H40" s="7">
        <v>1054.28</v>
      </c>
      <c r="I40" s="2"/>
      <c r="J40" s="8">
        <f t="shared" si="20"/>
        <v>0.19020231140874702</v>
      </c>
      <c r="K40" s="2"/>
      <c r="L40" s="7">
        <f t="shared" si="21"/>
        <v>337.10000000000014</v>
      </c>
      <c r="M40" s="2"/>
      <c r="N40" s="8">
        <f t="shared" si="22"/>
        <v>0.31974428045680481</v>
      </c>
      <c r="O40" s="11"/>
      <c r="P40" s="7">
        <v>2537.2199999999998</v>
      </c>
      <c r="Q40" s="2"/>
      <c r="R40" s="8">
        <f t="shared" si="23"/>
        <v>3.2261181783434727E-2</v>
      </c>
      <c r="S40" s="2"/>
      <c r="T40" s="7">
        <v>1364.01</v>
      </c>
      <c r="U40" s="2"/>
      <c r="V40" s="8">
        <f t="shared" si="24"/>
        <v>0.20927299646355782</v>
      </c>
      <c r="W40" s="2"/>
      <c r="X40" s="7">
        <f t="shared" si="25"/>
        <v>1173.2099999999998</v>
      </c>
      <c r="Y40" s="2"/>
      <c r="Z40" s="8">
        <f t="shared" si="26"/>
        <v>0.86011832757824347</v>
      </c>
    </row>
    <row r="41" spans="1:26" s="28" customFormat="1" outlineLevel="1" collapsed="1" x14ac:dyDescent="0.3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62536.37</v>
      </c>
      <c r="E41" s="1"/>
      <c r="F41" s="5">
        <f t="shared" ref="F41:F46" si="27">IF(D$12=0,0,D41/D$12)</f>
        <v>1.0609470936013576</v>
      </c>
      <c r="G41" s="1"/>
      <c r="H41" s="1">
        <f>SUM(OSRRefH22_1x_0)</f>
        <v>40914.910000000003</v>
      </c>
      <c r="I41" s="1"/>
      <c r="J41" s="5">
        <f t="shared" ref="J41:J46" si="28">IF(H$12=0,0,H41/H$12)</f>
        <v>7.3814455866381401</v>
      </c>
      <c r="K41" s="1"/>
      <c r="L41" s="1">
        <f t="shared" ref="L41:L46" si="29">+D41-H41</f>
        <v>21621.46</v>
      </c>
      <c r="M41" s="1"/>
      <c r="N41" s="5">
        <f t="shared" ref="N41:N46" si="30">IF(H41=0,0,L41/H41)</f>
        <v>0.52844940878520807</v>
      </c>
      <c r="O41" s="14"/>
      <c r="P41" s="1">
        <f>SUM(OSRRefP22_1x_0)</f>
        <v>115139.32</v>
      </c>
      <c r="Q41" s="1"/>
      <c r="R41" s="5">
        <f t="shared" ref="R41:R46" si="31">IF(P$12=0,0,P41/P$12)</f>
        <v>1.4640159438050551</v>
      </c>
      <c r="S41" s="1"/>
      <c r="T41" s="1">
        <f>SUM(OSRRefT22_1x_0)</f>
        <v>88819.96</v>
      </c>
      <c r="U41" s="1"/>
      <c r="V41" s="5">
        <f t="shared" ref="V41:V46" si="32">IF(T$12=0,0,T41/T$12)</f>
        <v>13.627186879108912</v>
      </c>
      <c r="W41" s="1"/>
      <c r="X41" s="1">
        <f t="shared" ref="X41:X46" si="33">+P41-T41</f>
        <v>26319.360000000001</v>
      </c>
      <c r="Y41" s="1"/>
      <c r="Z41" s="5">
        <f t="shared" ref="Z41:Z46" si="34">IF(T41=0,0,X41/T41)</f>
        <v>0.29632258334725664</v>
      </c>
    </row>
    <row r="42" spans="1:26" s="24" customFormat="1" hidden="1" outlineLevel="2" x14ac:dyDescent="0.3">
      <c r="A42" s="27"/>
      <c r="B42" s="11" t="str">
        <f>CONCATENATE("          ", "6001", " - ", "ADMINISTRATIVE SALARIES")</f>
        <v xml:space="preserve">          6001 - ADMINISTRATIVE SALARIES</v>
      </c>
      <c r="C42" s="11"/>
      <c r="D42" s="7">
        <v>8855.42</v>
      </c>
      <c r="E42" s="2"/>
      <c r="F42" s="8">
        <f t="shared" si="27"/>
        <v>0.15023468921556105</v>
      </c>
      <c r="G42" s="2"/>
      <c r="H42" s="7">
        <v>11069.28</v>
      </c>
      <c r="I42" s="2"/>
      <c r="J42" s="8">
        <f t="shared" si="28"/>
        <v>1.9970051994068136</v>
      </c>
      <c r="K42" s="2"/>
      <c r="L42" s="7">
        <f t="shared" si="29"/>
        <v>-2213.8600000000006</v>
      </c>
      <c r="M42" s="2"/>
      <c r="N42" s="8">
        <f t="shared" si="30"/>
        <v>-0.20000036136044985</v>
      </c>
      <c r="O42" s="11"/>
      <c r="P42" s="7">
        <v>22691.7</v>
      </c>
      <c r="Q42" s="2"/>
      <c r="R42" s="8">
        <f t="shared" si="31"/>
        <v>0.28852880659744362</v>
      </c>
      <c r="S42" s="2"/>
      <c r="T42" s="7">
        <v>22276.61</v>
      </c>
      <c r="U42" s="2"/>
      <c r="V42" s="8">
        <f t="shared" si="32"/>
        <v>3.4177850057917882</v>
      </c>
      <c r="W42" s="2"/>
      <c r="X42" s="7">
        <f t="shared" si="33"/>
        <v>415.09000000000015</v>
      </c>
      <c r="Y42" s="2"/>
      <c r="Z42" s="8">
        <f t="shared" si="34"/>
        <v>1.8633445573630822E-2</v>
      </c>
    </row>
    <row r="43" spans="1:26" s="24" customFormat="1" hidden="1" outlineLevel="2" x14ac:dyDescent="0.3">
      <c r="A43" s="27"/>
      <c r="B43" s="11" t="str">
        <f>CONCATENATE("          ", "6002", " - ", "STAFF SALARIES")</f>
        <v xml:space="preserve">          6002 - STAFF SALARIES</v>
      </c>
      <c r="C43" s="11"/>
      <c r="D43" s="7">
        <v>20808.45</v>
      </c>
      <c r="E43" s="2"/>
      <c r="F43" s="8">
        <f t="shared" si="27"/>
        <v>0.35302120269931198</v>
      </c>
      <c r="G43" s="2"/>
      <c r="H43" s="7">
        <v>24162.06</v>
      </c>
      <c r="I43" s="2"/>
      <c r="J43" s="8">
        <f t="shared" si="28"/>
        <v>4.3590693747361522</v>
      </c>
      <c r="K43" s="2"/>
      <c r="L43" s="7">
        <f t="shared" si="29"/>
        <v>-3353.6100000000006</v>
      </c>
      <c r="M43" s="2"/>
      <c r="N43" s="8">
        <f t="shared" si="30"/>
        <v>-0.13879652645511187</v>
      </c>
      <c r="O43" s="11"/>
      <c r="P43" s="7">
        <v>44532.47</v>
      </c>
      <c r="Q43" s="2"/>
      <c r="R43" s="8">
        <f t="shared" si="31"/>
        <v>0.5662378942052142</v>
      </c>
      <c r="S43" s="2"/>
      <c r="T43" s="7">
        <v>56738.05</v>
      </c>
      <c r="U43" s="2"/>
      <c r="V43" s="8">
        <f t="shared" si="32"/>
        <v>8.7050254301648575</v>
      </c>
      <c r="W43" s="2"/>
      <c r="X43" s="7">
        <f t="shared" si="33"/>
        <v>-12205.580000000002</v>
      </c>
      <c r="Y43" s="2"/>
      <c r="Z43" s="8">
        <f t="shared" si="34"/>
        <v>-0.21512159829250391</v>
      </c>
    </row>
    <row r="44" spans="1:26" s="24" customFormat="1" hidden="1" outlineLevel="2" x14ac:dyDescent="0.3">
      <c r="A44" s="27"/>
      <c r="B44" s="11" t="str">
        <f>CONCATENATE("          ", "6004", " - ", "STAFF HOURLY")</f>
        <v xml:space="preserve">          6004 - STAFF HOURLY</v>
      </c>
      <c r="C44" s="11"/>
      <c r="D44" s="7">
        <v>8001.1</v>
      </c>
      <c r="E44" s="2"/>
      <c r="F44" s="8">
        <f t="shared" si="27"/>
        <v>0.1357409102992998</v>
      </c>
      <c r="G44" s="2"/>
      <c r="H44" s="7">
        <v>4818.47</v>
      </c>
      <c r="I44" s="2"/>
      <c r="J44" s="8">
        <f t="shared" si="28"/>
        <v>0.86929860326830188</v>
      </c>
      <c r="K44" s="2"/>
      <c r="L44" s="7">
        <f t="shared" si="29"/>
        <v>3182.63</v>
      </c>
      <c r="M44" s="2"/>
      <c r="N44" s="8">
        <f t="shared" si="30"/>
        <v>0.66050634329984415</v>
      </c>
      <c r="O44" s="11"/>
      <c r="P44" s="7">
        <v>15727.36</v>
      </c>
      <c r="Q44" s="2"/>
      <c r="R44" s="8">
        <f t="shared" si="31"/>
        <v>0.19997604462108923</v>
      </c>
      <c r="S44" s="2"/>
      <c r="T44" s="7">
        <v>7590.2</v>
      </c>
      <c r="U44" s="2"/>
      <c r="V44" s="8">
        <f t="shared" si="32"/>
        <v>1.164525111808342</v>
      </c>
      <c r="W44" s="2"/>
      <c r="X44" s="7">
        <f t="shared" si="33"/>
        <v>8137.1600000000008</v>
      </c>
      <c r="Y44" s="2"/>
      <c r="Z44" s="8">
        <f t="shared" si="34"/>
        <v>1.0720613422571212</v>
      </c>
    </row>
    <row r="45" spans="1:26" s="24" customFormat="1" hidden="1" outlineLevel="2" x14ac:dyDescent="0.3">
      <c r="A45" s="27"/>
      <c r="B45" s="11" t="str">
        <f>CONCATENATE("          ", "6005", " - ", "TEMPORARY WAGES-HOURLY")</f>
        <v xml:space="preserve">          6005 - TEMPORARY WAGES-HOURLY</v>
      </c>
      <c r="C45" s="11"/>
      <c r="D45" s="7">
        <v>10218.36</v>
      </c>
      <c r="E45" s="2"/>
      <c r="F45" s="8">
        <f t="shared" si="27"/>
        <v>0.1733573493852037</v>
      </c>
      <c r="G45" s="2"/>
      <c r="H45" s="7">
        <v>155.1</v>
      </c>
      <c r="I45" s="2"/>
      <c r="J45" s="8">
        <f t="shared" si="28"/>
        <v>2.798154048212682E-2</v>
      </c>
      <c r="K45" s="2"/>
      <c r="L45" s="7">
        <f t="shared" si="29"/>
        <v>10063.26</v>
      </c>
      <c r="M45" s="2"/>
      <c r="N45" s="8">
        <f t="shared" si="30"/>
        <v>64.882398452611227</v>
      </c>
      <c r="O45" s="11"/>
      <c r="P45" s="7">
        <v>13571.75</v>
      </c>
      <c r="Q45" s="2"/>
      <c r="R45" s="8">
        <f t="shared" si="31"/>
        <v>0.17256709858401331</v>
      </c>
      <c r="S45" s="2"/>
      <c r="T45" s="7">
        <v>155.1</v>
      </c>
      <c r="U45" s="2"/>
      <c r="V45" s="8">
        <f t="shared" si="32"/>
        <v>2.3796190461578593E-2</v>
      </c>
      <c r="W45" s="2"/>
      <c r="X45" s="7">
        <f t="shared" si="33"/>
        <v>13416.65</v>
      </c>
      <c r="Y45" s="2"/>
      <c r="Z45" s="8">
        <f t="shared" si="34"/>
        <v>86.503223726627979</v>
      </c>
    </row>
    <row r="46" spans="1:26" s="24" customFormat="1" hidden="1" outlineLevel="2" x14ac:dyDescent="0.3">
      <c r="A46" s="27"/>
      <c r="B46" s="11" t="str">
        <f>CONCATENATE("          ", "6007", " - ", "STUDENT HOURLY")</f>
        <v xml:space="preserve">          6007 - STUDENT HOURLY</v>
      </c>
      <c r="C46" s="11"/>
      <c r="D46" s="7">
        <v>14653.04</v>
      </c>
      <c r="E46" s="2"/>
      <c r="F46" s="8">
        <f t="shared" si="27"/>
        <v>0.24859294200198123</v>
      </c>
      <c r="G46" s="2"/>
      <c r="H46" s="7">
        <v>710</v>
      </c>
      <c r="I46" s="2"/>
      <c r="J46" s="8">
        <f t="shared" si="28"/>
        <v>0.1280908687447456</v>
      </c>
      <c r="K46" s="2"/>
      <c r="L46" s="7">
        <f t="shared" si="29"/>
        <v>13943.04</v>
      </c>
      <c r="M46" s="2"/>
      <c r="N46" s="8">
        <f t="shared" si="30"/>
        <v>19.638084507042255</v>
      </c>
      <c r="O46" s="11"/>
      <c r="P46" s="7">
        <v>18616.04</v>
      </c>
      <c r="Q46" s="2"/>
      <c r="R46" s="8">
        <f t="shared" si="31"/>
        <v>0.23670609979729479</v>
      </c>
      <c r="S46" s="2"/>
      <c r="T46" s="7">
        <v>2060</v>
      </c>
      <c r="U46" s="2"/>
      <c r="V46" s="8">
        <f t="shared" si="32"/>
        <v>0.31605514088234626</v>
      </c>
      <c r="W46" s="2"/>
      <c r="X46" s="7">
        <f t="shared" si="33"/>
        <v>16556.04</v>
      </c>
      <c r="Y46" s="2"/>
      <c r="Z46" s="8">
        <f t="shared" si="34"/>
        <v>8.0369126213592246</v>
      </c>
    </row>
    <row r="47" spans="1:26" s="28" customFormat="1" outlineLevel="1" collapsed="1" x14ac:dyDescent="0.3">
      <c r="A47" s="29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135.47</v>
      </c>
      <c r="E47" s="1"/>
      <c r="F47" s="5">
        <f t="shared" ref="F47:F55" si="35">IF(D$12=0,0,D47/D$12)</f>
        <v>2.2982866253697795E-3</v>
      </c>
      <c r="G47" s="1"/>
      <c r="H47" s="1">
        <f>SUM(OSRRefH22_2x_0)</f>
        <v>0</v>
      </c>
      <c r="I47" s="1"/>
      <c r="J47" s="5">
        <f t="shared" ref="J47:J55" si="36">IF(H$12=0,0,H47/H$12)</f>
        <v>0</v>
      </c>
      <c r="K47" s="1"/>
      <c r="L47" s="1">
        <f t="shared" ref="L47:L55" si="37">+D47-H47</f>
        <v>135.47</v>
      </c>
      <c r="M47" s="1"/>
      <c r="N47" s="5">
        <f t="shared" ref="N47:N55" si="38">IF(H47=0,0,L47/H47)</f>
        <v>0</v>
      </c>
      <c r="O47" s="14"/>
      <c r="P47" s="1">
        <f>SUM(OSRRefP22_2x_0)</f>
        <v>560.26</v>
      </c>
      <c r="Q47" s="1"/>
      <c r="R47" s="5">
        <f t="shared" ref="R47:R55" si="39">IF(P$12=0,0,P47/P$12)</f>
        <v>7.1238007370220714E-3</v>
      </c>
      <c r="S47" s="1"/>
      <c r="T47" s="1">
        <f>SUM(OSRRefT22_2x_0)</f>
        <v>45.97</v>
      </c>
      <c r="U47" s="1"/>
      <c r="V47" s="5">
        <f t="shared" ref="V47:V55" si="40">IF(T$12=0,0,T47/T$12)</f>
        <v>7.0529392360977943E-3</v>
      </c>
      <c r="W47" s="1"/>
      <c r="X47" s="1">
        <f t="shared" ref="X47:X55" si="41">+P47-T47</f>
        <v>514.29</v>
      </c>
      <c r="Y47" s="1"/>
      <c r="Z47" s="5">
        <f t="shared" ref="Z47:Z55" si="42">IF(T47=0,0,X47/T47)</f>
        <v>11.187513595823363</v>
      </c>
    </row>
    <row r="48" spans="1:26" s="24" customFormat="1" hidden="1" outlineLevel="2" x14ac:dyDescent="0.3">
      <c r="A48" s="27"/>
      <c r="B48" s="11" t="str">
        <f>CONCATENATE("          ", "6362", " - ", "ADVERTISING EXPENSE")</f>
        <v xml:space="preserve">          6362 - ADVERTISING EXPENSE</v>
      </c>
      <c r="C48" s="11"/>
      <c r="D48" s="7">
        <v>135.47</v>
      </c>
      <c r="E48" s="2"/>
      <c r="F48" s="8">
        <f t="shared" si="35"/>
        <v>2.2982866253697795E-3</v>
      </c>
      <c r="G48" s="2"/>
      <c r="H48" s="7"/>
      <c r="I48" s="2"/>
      <c r="J48" s="8">
        <f t="shared" si="36"/>
        <v>0</v>
      </c>
      <c r="K48" s="2"/>
      <c r="L48" s="7">
        <f t="shared" si="37"/>
        <v>135.47</v>
      </c>
      <c r="M48" s="2"/>
      <c r="N48" s="8">
        <f t="shared" si="38"/>
        <v>0</v>
      </c>
      <c r="O48" s="11"/>
      <c r="P48" s="7">
        <v>560.26</v>
      </c>
      <c r="Q48" s="2"/>
      <c r="R48" s="8">
        <f t="shared" si="39"/>
        <v>7.1238007370220714E-3</v>
      </c>
      <c r="S48" s="2"/>
      <c r="T48" s="7">
        <v>45.97</v>
      </c>
      <c r="U48" s="2"/>
      <c r="V48" s="8">
        <f t="shared" si="40"/>
        <v>7.0529392360977943E-3</v>
      </c>
      <c r="W48" s="2"/>
      <c r="X48" s="7">
        <f t="shared" si="41"/>
        <v>514.29</v>
      </c>
      <c r="Y48" s="2"/>
      <c r="Z48" s="8">
        <f t="shared" si="42"/>
        <v>11.187513595823363</v>
      </c>
    </row>
    <row r="49" spans="1:26" s="28" customFormat="1" outlineLevel="1" collapsed="1" x14ac:dyDescent="0.3">
      <c r="A49" s="29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-89.52</v>
      </c>
      <c r="E49" s="1"/>
      <c r="F49" s="5">
        <f t="shared" si="35"/>
        <v>-1.5187319606045815E-3</v>
      </c>
      <c r="G49" s="1"/>
      <c r="H49" s="1">
        <f>SUM(OSRRefH22_3x_0)</f>
        <v>3.61</v>
      </c>
      <c r="I49" s="1"/>
      <c r="J49" s="5">
        <f t="shared" si="36"/>
        <v>6.5127892418103046E-4</v>
      </c>
      <c r="K49" s="1"/>
      <c r="L49" s="1">
        <f t="shared" si="37"/>
        <v>-93.13</v>
      </c>
      <c r="M49" s="1"/>
      <c r="N49" s="5">
        <f t="shared" si="38"/>
        <v>-25.797783933518005</v>
      </c>
      <c r="O49" s="14"/>
      <c r="P49" s="1">
        <f>SUM(OSRRefP22_3x_0)</f>
        <v>-108.54</v>
      </c>
      <c r="Q49" s="1"/>
      <c r="R49" s="5">
        <f t="shared" si="39"/>
        <v>-1.3801044729168167E-3</v>
      </c>
      <c r="S49" s="1"/>
      <c r="T49" s="1">
        <f>SUM(OSRRefT22_3x_0)</f>
        <v>3.61</v>
      </c>
      <c r="U49" s="1"/>
      <c r="V49" s="5">
        <f t="shared" si="40"/>
        <v>5.5386362067246116E-4</v>
      </c>
      <c r="W49" s="1"/>
      <c r="X49" s="1">
        <f t="shared" si="41"/>
        <v>-112.15</v>
      </c>
      <c r="Y49" s="1"/>
      <c r="Z49" s="5">
        <f t="shared" si="42"/>
        <v>-31.066481994459835</v>
      </c>
    </row>
    <row r="50" spans="1:26" s="24" customFormat="1" hidden="1" outlineLevel="2" x14ac:dyDescent="0.3">
      <c r="A50" s="27"/>
      <c r="B50" s="11" t="str">
        <f>CONCATENATE("          ", "6272", " - ", "CASH (OVER/SHORT)")</f>
        <v xml:space="preserve">          6272 - CASH (OVER/SHORT)</v>
      </c>
      <c r="C50" s="11"/>
      <c r="D50" s="7">
        <v>-89.52</v>
      </c>
      <c r="E50" s="2"/>
      <c r="F50" s="8">
        <f t="shared" si="35"/>
        <v>-1.5187319606045815E-3</v>
      </c>
      <c r="G50" s="2"/>
      <c r="H50" s="7">
        <v>3.61</v>
      </c>
      <c r="I50" s="2"/>
      <c r="J50" s="8">
        <f t="shared" si="36"/>
        <v>6.5127892418103046E-4</v>
      </c>
      <c r="K50" s="2"/>
      <c r="L50" s="7">
        <f t="shared" si="37"/>
        <v>-93.13</v>
      </c>
      <c r="M50" s="2"/>
      <c r="N50" s="8">
        <f t="shared" si="38"/>
        <v>-25.797783933518005</v>
      </c>
      <c r="O50" s="11"/>
      <c r="P50" s="7">
        <v>-108.54</v>
      </c>
      <c r="Q50" s="2"/>
      <c r="R50" s="8">
        <f t="shared" si="39"/>
        <v>-1.3801044729168167E-3</v>
      </c>
      <c r="S50" s="2"/>
      <c r="T50" s="7">
        <v>3.61</v>
      </c>
      <c r="U50" s="2"/>
      <c r="V50" s="8">
        <f t="shared" si="40"/>
        <v>5.5386362067246116E-4</v>
      </c>
      <c r="W50" s="2"/>
      <c r="X50" s="7">
        <f t="shared" si="41"/>
        <v>-112.15</v>
      </c>
      <c r="Y50" s="2"/>
      <c r="Z50" s="8">
        <f t="shared" si="42"/>
        <v>-31.066481994459835</v>
      </c>
    </row>
    <row r="51" spans="1:26" s="28" customFormat="1" outlineLevel="1" collapsed="1" x14ac:dyDescent="0.3">
      <c r="A51" s="29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2761.03</v>
      </c>
      <c r="E51" s="1"/>
      <c r="F51" s="5">
        <f t="shared" si="35"/>
        <v>4.6841649968588792E-2</v>
      </c>
      <c r="G51" s="1"/>
      <c r="H51" s="1">
        <f>SUM(OSRRefH22_4x_0)</f>
        <v>393.07</v>
      </c>
      <c r="I51" s="1"/>
      <c r="J51" s="5">
        <f t="shared" si="36"/>
        <v>7.0913630672531203E-2</v>
      </c>
      <c r="K51" s="1"/>
      <c r="L51" s="1">
        <f t="shared" si="37"/>
        <v>2367.96</v>
      </c>
      <c r="M51" s="1"/>
      <c r="N51" s="5">
        <f t="shared" si="38"/>
        <v>6.0242704861729468</v>
      </c>
      <c r="O51" s="14"/>
      <c r="P51" s="1">
        <f>SUM(OSRRefP22_4x_0)</f>
        <v>3769.74</v>
      </c>
      <c r="Q51" s="1"/>
      <c r="R51" s="5">
        <f t="shared" si="39"/>
        <v>4.7932882216081073E-2</v>
      </c>
      <c r="S51" s="1"/>
      <c r="T51" s="1">
        <f>SUM(OSRRefT22_4x_0)</f>
        <v>735.89</v>
      </c>
      <c r="U51" s="1"/>
      <c r="V51" s="5">
        <f t="shared" si="40"/>
        <v>0.11290379496306299</v>
      </c>
      <c r="W51" s="1"/>
      <c r="X51" s="1">
        <f t="shared" si="41"/>
        <v>3033.85</v>
      </c>
      <c r="Y51" s="1"/>
      <c r="Z51" s="5">
        <f t="shared" si="42"/>
        <v>4.1226949679979343</v>
      </c>
    </row>
    <row r="52" spans="1:26" s="24" customFormat="1" hidden="1" outlineLevel="2" x14ac:dyDescent="0.3">
      <c r="A52" s="27"/>
      <c r="B52" s="11" t="str">
        <f>CONCATENATE("          ", "6381", " - ", "BANK/CREDIT CARD FEES")</f>
        <v xml:space="preserve">          6381 - BANK/CREDIT CARD FEES</v>
      </c>
      <c r="C52" s="11"/>
      <c r="D52" s="7">
        <v>2761.03</v>
      </c>
      <c r="E52" s="2"/>
      <c r="F52" s="8">
        <f t="shared" si="35"/>
        <v>4.6841649968588792E-2</v>
      </c>
      <c r="G52" s="2"/>
      <c r="H52" s="7">
        <v>393.07</v>
      </c>
      <c r="I52" s="2"/>
      <c r="J52" s="8">
        <f t="shared" si="36"/>
        <v>7.0913630672531203E-2</v>
      </c>
      <c r="K52" s="2"/>
      <c r="L52" s="7">
        <f t="shared" si="37"/>
        <v>2367.96</v>
      </c>
      <c r="M52" s="2"/>
      <c r="N52" s="8">
        <f t="shared" si="38"/>
        <v>6.0242704861729468</v>
      </c>
      <c r="O52" s="11"/>
      <c r="P52" s="7">
        <v>3769.74</v>
      </c>
      <c r="Q52" s="2"/>
      <c r="R52" s="8">
        <f t="shared" si="39"/>
        <v>4.7932882216081073E-2</v>
      </c>
      <c r="S52" s="2"/>
      <c r="T52" s="7">
        <v>735.89</v>
      </c>
      <c r="U52" s="2"/>
      <c r="V52" s="8">
        <f t="shared" si="40"/>
        <v>0.11290379496306299</v>
      </c>
      <c r="W52" s="2"/>
      <c r="X52" s="7">
        <f t="shared" si="41"/>
        <v>3033.85</v>
      </c>
      <c r="Y52" s="2"/>
      <c r="Z52" s="8">
        <f t="shared" si="42"/>
        <v>4.1226949679979343</v>
      </c>
    </row>
    <row r="53" spans="1:26" s="28" customFormat="1" outlineLevel="1" collapsed="1" x14ac:dyDescent="0.3">
      <c r="A53" s="29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39961.65</v>
      </c>
      <c r="E53" s="1"/>
      <c r="F53" s="5">
        <f t="shared" si="35"/>
        <v>0.67796062392196244</v>
      </c>
      <c r="G53" s="1"/>
      <c r="H53" s="1">
        <f>SUM(OSRRefH22_5x_0)</f>
        <v>46962.47</v>
      </c>
      <c r="I53" s="1"/>
      <c r="J53" s="5">
        <f t="shared" si="36"/>
        <v>8.4724839164775396</v>
      </c>
      <c r="K53" s="1"/>
      <c r="L53" s="1">
        <f t="shared" si="37"/>
        <v>-7000.82</v>
      </c>
      <c r="M53" s="1"/>
      <c r="N53" s="5">
        <f t="shared" si="38"/>
        <v>-0.14907265312067272</v>
      </c>
      <c r="O53" s="14"/>
      <c r="P53" s="1">
        <f>SUM(OSRRefP22_5x_0)</f>
        <v>79923.3</v>
      </c>
      <c r="Q53" s="1"/>
      <c r="R53" s="5">
        <f t="shared" si="39"/>
        <v>1.0162382883754617</v>
      </c>
      <c r="S53" s="1"/>
      <c r="T53" s="1">
        <f>SUM(OSRRefT22_5x_0)</f>
        <v>93509.21</v>
      </c>
      <c r="U53" s="1"/>
      <c r="V53" s="5">
        <f t="shared" si="40"/>
        <v>14.346634242886847</v>
      </c>
      <c r="W53" s="1"/>
      <c r="X53" s="1">
        <f t="shared" si="41"/>
        <v>-13585.910000000003</v>
      </c>
      <c r="Y53" s="1"/>
      <c r="Z53" s="5">
        <f t="shared" si="42"/>
        <v>-0.14528953885932736</v>
      </c>
    </row>
    <row r="54" spans="1:26" s="24" customFormat="1" hidden="1" outlineLevel="2" x14ac:dyDescent="0.3">
      <c r="A54" s="27"/>
      <c r="B54" s="11" t="str">
        <f>CONCATENATE("          ", "6321", " - ", "BUILDING DEPRECIATION")</f>
        <v xml:space="preserve">          6321 - BUILDING DEPRECIATION</v>
      </c>
      <c r="C54" s="11"/>
      <c r="D54" s="7">
        <v>28663.98</v>
      </c>
      <c r="E54" s="2"/>
      <c r="F54" s="8">
        <f t="shared" si="35"/>
        <v>0.48629247703452316</v>
      </c>
      <c r="G54" s="2"/>
      <c r="H54" s="7">
        <v>28925.4</v>
      </c>
      <c r="I54" s="2"/>
      <c r="J54" s="8">
        <f t="shared" si="36"/>
        <v>5.2184219926609359</v>
      </c>
      <c r="K54" s="2"/>
      <c r="L54" s="7">
        <f t="shared" si="37"/>
        <v>-261.42000000000189</v>
      </c>
      <c r="M54" s="2"/>
      <c r="N54" s="8">
        <f t="shared" si="38"/>
        <v>-9.0377315439026558E-3</v>
      </c>
      <c r="O54" s="11"/>
      <c r="P54" s="7">
        <v>57327.96</v>
      </c>
      <c r="Q54" s="2"/>
      <c r="R54" s="8">
        <f t="shared" si="39"/>
        <v>0.72893471548918687</v>
      </c>
      <c r="S54" s="2"/>
      <c r="T54" s="7">
        <v>57850.8</v>
      </c>
      <c r="U54" s="2"/>
      <c r="V54" s="8">
        <f t="shared" si="40"/>
        <v>8.87574890493031</v>
      </c>
      <c r="W54" s="2"/>
      <c r="X54" s="7">
        <f t="shared" si="41"/>
        <v>-522.84000000000378</v>
      </c>
      <c r="Y54" s="2"/>
      <c r="Z54" s="8">
        <f t="shared" si="42"/>
        <v>-9.0377315439026558E-3</v>
      </c>
    </row>
    <row r="55" spans="1:26" s="24" customFormat="1" hidden="1" outlineLevel="2" x14ac:dyDescent="0.3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11297.67</v>
      </c>
      <c r="E55" s="2"/>
      <c r="F55" s="8">
        <f t="shared" si="35"/>
        <v>0.19166814688743927</v>
      </c>
      <c r="G55" s="2"/>
      <c r="H55" s="7">
        <v>18037.07</v>
      </c>
      <c r="I55" s="2"/>
      <c r="J55" s="8">
        <f t="shared" si="36"/>
        <v>3.2540619238166033</v>
      </c>
      <c r="K55" s="2"/>
      <c r="L55" s="7">
        <f t="shared" si="37"/>
        <v>-6739.4</v>
      </c>
      <c r="M55" s="2"/>
      <c r="N55" s="8">
        <f t="shared" si="38"/>
        <v>-0.37364161695885195</v>
      </c>
      <c r="O55" s="11"/>
      <c r="P55" s="7">
        <v>22595.34</v>
      </c>
      <c r="Q55" s="2"/>
      <c r="R55" s="8">
        <f t="shared" si="39"/>
        <v>0.28730357288627478</v>
      </c>
      <c r="S55" s="2"/>
      <c r="T55" s="7">
        <v>35658.410000000003</v>
      </c>
      <c r="U55" s="2"/>
      <c r="V55" s="8">
        <f t="shared" si="40"/>
        <v>5.4708853379565365</v>
      </c>
      <c r="W55" s="2"/>
      <c r="X55" s="7">
        <f t="shared" si="41"/>
        <v>-13063.070000000003</v>
      </c>
      <c r="Y55" s="2"/>
      <c r="Z55" s="8">
        <f t="shared" si="42"/>
        <v>-0.36633910485632987</v>
      </c>
    </row>
    <row r="56" spans="1:26" s="28" customFormat="1" outlineLevel="1" collapsed="1" x14ac:dyDescent="0.3">
      <c r="A56" s="29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18</v>
      </c>
      <c r="E56" s="1"/>
      <c r="F56" s="5">
        <f t="shared" ref="F56:F73" si="43">IF(D$12=0,0,D56/D$12)</f>
        <v>3.0537505910279794E-4</v>
      </c>
      <c r="G56" s="1"/>
      <c r="H56" s="1">
        <f>SUM(OSRRefH22_6x_0)</f>
        <v>0</v>
      </c>
      <c r="I56" s="1"/>
      <c r="J56" s="5">
        <f t="shared" ref="J56:J73" si="44">IF(H$12=0,0,H56/H$12)</f>
        <v>0</v>
      </c>
      <c r="K56" s="1"/>
      <c r="L56" s="1">
        <f t="shared" ref="L56:L73" si="45">+D56-H56</f>
        <v>18</v>
      </c>
      <c r="M56" s="1"/>
      <c r="N56" s="5">
        <f t="shared" ref="N56:N73" si="46">IF(H56=0,0,L56/H56)</f>
        <v>0</v>
      </c>
      <c r="O56" s="14"/>
      <c r="P56" s="1">
        <f>SUM(OSRRefP22_6x_0)</f>
        <v>18</v>
      </c>
      <c r="Q56" s="1"/>
      <c r="R56" s="5">
        <f t="shared" ref="R56:R73" si="47">IF(P$12=0,0,P56/P$12)</f>
        <v>2.2887304691821171E-4</v>
      </c>
      <c r="S56" s="1"/>
      <c r="T56" s="1">
        <f>SUM(OSRRefT22_6x_0)</f>
        <v>0</v>
      </c>
      <c r="U56" s="1"/>
      <c r="V56" s="5">
        <f t="shared" ref="V56:V73" si="48">IF(T$12=0,0,T56/T$12)</f>
        <v>0</v>
      </c>
      <c r="W56" s="1"/>
      <c r="X56" s="1">
        <f t="shared" ref="X56:X73" si="49">+P56-T56</f>
        <v>18</v>
      </c>
      <c r="Y56" s="1"/>
      <c r="Z56" s="5">
        <f t="shared" ref="Z56:Z73" si="50">IF(T56=0,0,X56/T56)</f>
        <v>0</v>
      </c>
    </row>
    <row r="57" spans="1:26" s="24" customFormat="1" hidden="1" outlineLevel="2" x14ac:dyDescent="0.3">
      <c r="A57" s="27"/>
      <c r="B57" s="11" t="str">
        <f>CONCATENATE("          ", "6277", " - ", "EMPLOYEE APPRECIATION")</f>
        <v xml:space="preserve">          6277 - EMPLOYEE APPRECIATION</v>
      </c>
      <c r="C57" s="11"/>
      <c r="D57" s="7">
        <v>18</v>
      </c>
      <c r="E57" s="2"/>
      <c r="F57" s="8">
        <f t="shared" si="43"/>
        <v>3.0537505910279794E-4</v>
      </c>
      <c r="G57" s="2"/>
      <c r="H57" s="7"/>
      <c r="I57" s="2"/>
      <c r="J57" s="8">
        <f t="shared" si="44"/>
        <v>0</v>
      </c>
      <c r="K57" s="2"/>
      <c r="L57" s="7">
        <f t="shared" si="45"/>
        <v>18</v>
      </c>
      <c r="M57" s="2"/>
      <c r="N57" s="8">
        <f t="shared" si="46"/>
        <v>0</v>
      </c>
      <c r="O57" s="11"/>
      <c r="P57" s="7">
        <v>18</v>
      </c>
      <c r="Q57" s="2"/>
      <c r="R57" s="8">
        <f t="shared" si="47"/>
        <v>2.2887304691821171E-4</v>
      </c>
      <c r="S57" s="2"/>
      <c r="T57" s="7"/>
      <c r="U57" s="2"/>
      <c r="V57" s="8">
        <f t="shared" si="48"/>
        <v>0</v>
      </c>
      <c r="W57" s="2"/>
      <c r="X57" s="7">
        <f t="shared" si="49"/>
        <v>18</v>
      </c>
      <c r="Y57" s="2"/>
      <c r="Z57" s="8">
        <f t="shared" si="50"/>
        <v>0</v>
      </c>
    </row>
    <row r="58" spans="1:26" s="28" customFormat="1" outlineLevel="1" collapsed="1" x14ac:dyDescent="0.3">
      <c r="A58" s="29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1239.52</v>
      </c>
      <c r="E58" s="1"/>
      <c r="F58" s="5">
        <f t="shared" si="43"/>
        <v>2.1028805181061115E-2</v>
      </c>
      <c r="G58" s="1"/>
      <c r="H58" s="1">
        <f>SUM(OSRRefH22_7x_0)</f>
        <v>163.80000000000001</v>
      </c>
      <c r="I58" s="1"/>
      <c r="J58" s="5">
        <f t="shared" si="44"/>
        <v>2.9551104648435678E-2</v>
      </c>
      <c r="K58" s="1"/>
      <c r="L58" s="1">
        <f t="shared" si="45"/>
        <v>1075.72</v>
      </c>
      <c r="M58" s="1"/>
      <c r="N58" s="5">
        <f t="shared" si="46"/>
        <v>6.567277167277167</v>
      </c>
      <c r="O58" s="14"/>
      <c r="P58" s="1">
        <f>SUM(OSRRefP22_7x_0)</f>
        <v>1707.45</v>
      </c>
      <c r="Q58" s="1"/>
      <c r="R58" s="5">
        <f t="shared" si="47"/>
        <v>2.1710515775583365E-2</v>
      </c>
      <c r="S58" s="1"/>
      <c r="T58" s="1">
        <f>SUM(OSRRefT22_7x_0)</f>
        <v>1032.75</v>
      </c>
      <c r="U58" s="1"/>
      <c r="V58" s="5">
        <f t="shared" si="48"/>
        <v>0.15844948871176848</v>
      </c>
      <c r="W58" s="1"/>
      <c r="X58" s="1">
        <f t="shared" si="49"/>
        <v>674.7</v>
      </c>
      <c r="Y58" s="1"/>
      <c r="Z58" s="5">
        <f t="shared" si="50"/>
        <v>0.65330428467683377</v>
      </c>
    </row>
    <row r="59" spans="1:26" s="24" customFormat="1" hidden="1" outlineLevel="2" x14ac:dyDescent="0.3">
      <c r="A59" s="27"/>
      <c r="B59" s="11" t="str">
        <f>CONCATENATE("          ", "6351", " - ", "EQUIPMENT RENTAL")</f>
        <v xml:space="preserve">          6351 - EQUIPMENT RENTAL</v>
      </c>
      <c r="C59" s="11"/>
      <c r="D59" s="7">
        <v>1239.52</v>
      </c>
      <c r="E59" s="2"/>
      <c r="F59" s="8">
        <f t="shared" si="43"/>
        <v>2.1028805181061115E-2</v>
      </c>
      <c r="G59" s="2"/>
      <c r="H59" s="7">
        <v>163.80000000000001</v>
      </c>
      <c r="I59" s="2"/>
      <c r="J59" s="8">
        <f t="shared" si="44"/>
        <v>2.9551104648435678E-2</v>
      </c>
      <c r="K59" s="2"/>
      <c r="L59" s="7">
        <f t="shared" si="45"/>
        <v>1075.72</v>
      </c>
      <c r="M59" s="2"/>
      <c r="N59" s="8">
        <f t="shared" si="46"/>
        <v>6.567277167277167</v>
      </c>
      <c r="O59" s="11"/>
      <c r="P59" s="7">
        <v>1707.45</v>
      </c>
      <c r="Q59" s="2"/>
      <c r="R59" s="8">
        <f t="shared" si="47"/>
        <v>2.1710515775583365E-2</v>
      </c>
      <c r="S59" s="2"/>
      <c r="T59" s="7">
        <v>1032.75</v>
      </c>
      <c r="U59" s="2"/>
      <c r="V59" s="8">
        <f t="shared" si="48"/>
        <v>0.15844948871176848</v>
      </c>
      <c r="W59" s="2"/>
      <c r="X59" s="7">
        <f t="shared" si="49"/>
        <v>674.7</v>
      </c>
      <c r="Y59" s="2"/>
      <c r="Z59" s="8">
        <f t="shared" si="50"/>
        <v>0.65330428467683377</v>
      </c>
    </row>
    <row r="60" spans="1:26" s="28" customFormat="1" outlineLevel="1" collapsed="1" x14ac:dyDescent="0.3">
      <c r="A60" s="29"/>
      <c r="B60" s="14" t="str">
        <f>CONCATENATE("     ","Freight out/Postage                               ")</f>
        <v xml:space="preserve">     Freight out/Postage                               </v>
      </c>
      <c r="C60" s="14"/>
      <c r="D60" s="1">
        <f>SUM(OSRRefD22_8x_0)</f>
        <v>0</v>
      </c>
      <c r="E60" s="1"/>
      <c r="F60" s="5">
        <f t="shared" si="43"/>
        <v>0</v>
      </c>
      <c r="G60" s="1"/>
      <c r="H60" s="1">
        <f>SUM(OSRRefH22_8x_0)</f>
        <v>3.94</v>
      </c>
      <c r="I60" s="1"/>
      <c r="J60" s="5">
        <f t="shared" si="44"/>
        <v>7.1081411669619387E-4</v>
      </c>
      <c r="K60" s="1"/>
      <c r="L60" s="1">
        <f t="shared" si="45"/>
        <v>-3.94</v>
      </c>
      <c r="M60" s="1"/>
      <c r="N60" s="5">
        <f t="shared" si="46"/>
        <v>-1</v>
      </c>
      <c r="O60" s="14"/>
      <c r="P60" s="1">
        <f>SUM(OSRRefP22_8x_0)</f>
        <v>0</v>
      </c>
      <c r="Q60" s="1"/>
      <c r="R60" s="5">
        <f t="shared" si="47"/>
        <v>0</v>
      </c>
      <c r="S60" s="1"/>
      <c r="T60" s="1">
        <f>SUM(OSRRefT22_8x_0)</f>
        <v>3.94</v>
      </c>
      <c r="U60" s="1"/>
      <c r="V60" s="5">
        <f t="shared" si="48"/>
        <v>6.0449381314390497E-4</v>
      </c>
      <c r="W60" s="1"/>
      <c r="X60" s="1">
        <f t="shared" si="49"/>
        <v>-3.94</v>
      </c>
      <c r="Y60" s="1"/>
      <c r="Z60" s="5">
        <f t="shared" si="50"/>
        <v>-1</v>
      </c>
    </row>
    <row r="61" spans="1:26" s="24" customFormat="1" hidden="1" outlineLevel="2" x14ac:dyDescent="0.3">
      <c r="A61" s="27"/>
      <c r="B61" s="11" t="str">
        <f>CONCATENATE("          ", "6305", " - ", "FREIGHT OUT")</f>
        <v xml:space="preserve">          6305 - FREIGHT OUT</v>
      </c>
      <c r="C61" s="11"/>
      <c r="D61" s="7"/>
      <c r="E61" s="2"/>
      <c r="F61" s="8">
        <f t="shared" si="43"/>
        <v>0</v>
      </c>
      <c r="G61" s="2"/>
      <c r="H61" s="7">
        <v>3.94</v>
      </c>
      <c r="I61" s="2"/>
      <c r="J61" s="8">
        <f t="shared" si="44"/>
        <v>7.1081411669619387E-4</v>
      </c>
      <c r="K61" s="2"/>
      <c r="L61" s="7">
        <f t="shared" si="45"/>
        <v>-3.94</v>
      </c>
      <c r="M61" s="2"/>
      <c r="N61" s="8">
        <f t="shared" si="46"/>
        <v>-1</v>
      </c>
      <c r="O61" s="11"/>
      <c r="P61" s="7"/>
      <c r="Q61" s="2"/>
      <c r="R61" s="8">
        <f t="shared" si="47"/>
        <v>0</v>
      </c>
      <c r="S61" s="2"/>
      <c r="T61" s="7">
        <v>3.94</v>
      </c>
      <c r="U61" s="2"/>
      <c r="V61" s="8">
        <f t="shared" si="48"/>
        <v>6.0449381314390497E-4</v>
      </c>
      <c r="W61" s="2"/>
      <c r="X61" s="7">
        <f t="shared" si="49"/>
        <v>-3.94</v>
      </c>
      <c r="Y61" s="2"/>
      <c r="Z61" s="8">
        <f t="shared" si="50"/>
        <v>-1</v>
      </c>
    </row>
    <row r="62" spans="1:26" s="28" customFormat="1" outlineLevel="1" collapsed="1" x14ac:dyDescent="0.3">
      <c r="A62" s="29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13768.93</v>
      </c>
      <c r="E62" s="1"/>
      <c r="F62" s="5">
        <f t="shared" si="43"/>
        <v>0.23359376736290485</v>
      </c>
      <c r="G62" s="1"/>
      <c r="H62" s="1">
        <f>SUM(OSRRefH22_9x_0)</f>
        <v>-1107.27</v>
      </c>
      <c r="I62" s="1"/>
      <c r="J62" s="5">
        <f t="shared" si="44"/>
        <v>-0.19976222004928798</v>
      </c>
      <c r="K62" s="1"/>
      <c r="L62" s="1">
        <f t="shared" si="45"/>
        <v>14876.2</v>
      </c>
      <c r="M62" s="1"/>
      <c r="N62" s="5">
        <f t="shared" si="46"/>
        <v>-13.435024881013666</v>
      </c>
      <c r="O62" s="14"/>
      <c r="P62" s="1">
        <f>SUM(OSRRefP22_9x_0)</f>
        <v>13934.21</v>
      </c>
      <c r="Q62" s="1"/>
      <c r="R62" s="5">
        <f t="shared" si="47"/>
        <v>0.17717583883878971</v>
      </c>
      <c r="S62" s="1"/>
      <c r="T62" s="1">
        <f>SUM(OSRRefT22_9x_0)</f>
        <v>4725.03</v>
      </c>
      <c r="U62" s="1"/>
      <c r="V62" s="5">
        <f t="shared" si="48"/>
        <v>0.72493690404044286</v>
      </c>
      <c r="W62" s="1"/>
      <c r="X62" s="1">
        <f t="shared" si="49"/>
        <v>9209.18</v>
      </c>
      <c r="Y62" s="1"/>
      <c r="Z62" s="5">
        <f t="shared" si="50"/>
        <v>1.9490204294999187</v>
      </c>
    </row>
    <row r="63" spans="1:26" s="24" customFormat="1" hidden="1" outlineLevel="2" x14ac:dyDescent="0.3">
      <c r="A63" s="27"/>
      <c r="B63" s="11" t="str">
        <f>CONCATENATE("          ", "6279", " - ", "GENERAL EXPENSE")</f>
        <v xml:space="preserve">          6279 - GENERAL EXPENSE</v>
      </c>
      <c r="C63" s="11"/>
      <c r="D63" s="7">
        <v>13768.93</v>
      </c>
      <c r="E63" s="2"/>
      <c r="F63" s="8">
        <f t="shared" si="43"/>
        <v>0.23359376736290485</v>
      </c>
      <c r="G63" s="2"/>
      <c r="H63" s="7">
        <v>-1107.27</v>
      </c>
      <c r="I63" s="2"/>
      <c r="J63" s="8">
        <f t="shared" si="44"/>
        <v>-0.19976222004928798</v>
      </c>
      <c r="K63" s="2"/>
      <c r="L63" s="7">
        <f t="shared" si="45"/>
        <v>14876.2</v>
      </c>
      <c r="M63" s="2"/>
      <c r="N63" s="8">
        <f t="shared" si="46"/>
        <v>-13.435024881013666</v>
      </c>
      <c r="O63" s="11"/>
      <c r="P63" s="7">
        <v>13934.21</v>
      </c>
      <c r="Q63" s="2"/>
      <c r="R63" s="8">
        <f t="shared" si="47"/>
        <v>0.17717583883878971</v>
      </c>
      <c r="S63" s="2"/>
      <c r="T63" s="7">
        <v>4725.03</v>
      </c>
      <c r="U63" s="2"/>
      <c r="V63" s="8">
        <f t="shared" si="48"/>
        <v>0.72493690404044286</v>
      </c>
      <c r="W63" s="2"/>
      <c r="X63" s="7">
        <f t="shared" si="49"/>
        <v>9209.18</v>
      </c>
      <c r="Y63" s="2"/>
      <c r="Z63" s="8">
        <f t="shared" si="50"/>
        <v>1.9490204294999187</v>
      </c>
    </row>
    <row r="64" spans="1:26" s="28" customFormat="1" outlineLevel="1" collapsed="1" x14ac:dyDescent="0.3">
      <c r="A64" s="29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6087.22</v>
      </c>
      <c r="E64" s="1"/>
      <c r="F64" s="5">
        <f t="shared" si="43"/>
        <v>0.10327139818176298</v>
      </c>
      <c r="G64" s="1"/>
      <c r="H64" s="1">
        <f>SUM(OSRRefH22_10x_0)</f>
        <v>4483.67</v>
      </c>
      <c r="I64" s="1"/>
      <c r="J64" s="5">
        <f t="shared" si="44"/>
        <v>0.80889744431655419</v>
      </c>
      <c r="K64" s="1"/>
      <c r="L64" s="1">
        <f t="shared" si="45"/>
        <v>1603.5500000000002</v>
      </c>
      <c r="M64" s="1"/>
      <c r="N64" s="5">
        <f t="shared" si="46"/>
        <v>0.35764228857163888</v>
      </c>
      <c r="O64" s="14"/>
      <c r="P64" s="1">
        <f>SUM(OSRRefP22_10x_0)</f>
        <v>12174.44</v>
      </c>
      <c r="Q64" s="1"/>
      <c r="R64" s="5">
        <f t="shared" si="47"/>
        <v>0.15480006540683075</v>
      </c>
      <c r="S64" s="1"/>
      <c r="T64" s="1">
        <f>SUM(OSRRefT22_10x_0)</f>
        <v>8967.34</v>
      </c>
      <c r="U64" s="1"/>
      <c r="V64" s="5">
        <f t="shared" si="48"/>
        <v>1.3758125762329605</v>
      </c>
      <c r="W64" s="1"/>
      <c r="X64" s="1">
        <f t="shared" si="49"/>
        <v>3207.1000000000004</v>
      </c>
      <c r="Y64" s="1"/>
      <c r="Z64" s="5">
        <f t="shared" si="50"/>
        <v>0.35764228857163888</v>
      </c>
    </row>
    <row r="65" spans="1:26" s="24" customFormat="1" hidden="1" outlineLevel="2" x14ac:dyDescent="0.3">
      <c r="A65" s="27"/>
      <c r="B65" s="11" t="str">
        <f>CONCATENATE("          ", "6314", " - ", "LIABILITY INSURANCE")</f>
        <v xml:space="preserve">          6314 - LIABILITY INSURANCE</v>
      </c>
      <c r="C65" s="11"/>
      <c r="D65" s="7">
        <v>6087.22</v>
      </c>
      <c r="E65" s="2"/>
      <c r="F65" s="8">
        <f t="shared" si="43"/>
        <v>0.10327139818176298</v>
      </c>
      <c r="G65" s="2"/>
      <c r="H65" s="7">
        <v>4483.67</v>
      </c>
      <c r="I65" s="2"/>
      <c r="J65" s="8">
        <f t="shared" si="44"/>
        <v>0.80889744431655419</v>
      </c>
      <c r="K65" s="2"/>
      <c r="L65" s="7">
        <f t="shared" si="45"/>
        <v>1603.5500000000002</v>
      </c>
      <c r="M65" s="2"/>
      <c r="N65" s="8">
        <f t="shared" si="46"/>
        <v>0.35764228857163888</v>
      </c>
      <c r="O65" s="11"/>
      <c r="P65" s="7">
        <v>12174.44</v>
      </c>
      <c r="Q65" s="2"/>
      <c r="R65" s="8">
        <f t="shared" si="47"/>
        <v>0.15480006540683075</v>
      </c>
      <c r="S65" s="2"/>
      <c r="T65" s="7">
        <v>8967.34</v>
      </c>
      <c r="U65" s="2"/>
      <c r="V65" s="8">
        <f t="shared" si="48"/>
        <v>1.3758125762329605</v>
      </c>
      <c r="W65" s="2"/>
      <c r="X65" s="7">
        <f t="shared" si="49"/>
        <v>3207.1000000000004</v>
      </c>
      <c r="Y65" s="2"/>
      <c r="Z65" s="8">
        <f t="shared" si="50"/>
        <v>0.35764228857163888</v>
      </c>
    </row>
    <row r="66" spans="1:26" s="28" customFormat="1" outlineLevel="1" collapsed="1" x14ac:dyDescent="0.3">
      <c r="A66" s="29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SUM(OSRRefD22_11x_0)</f>
        <v>11158</v>
      </c>
      <c r="E66" s="1"/>
      <c r="F66" s="5">
        <f t="shared" si="43"/>
        <v>0.18929860608161217</v>
      </c>
      <c r="G66" s="1"/>
      <c r="H66" s="1">
        <f>SUM(OSRRefH22_11x_0)</f>
        <v>11554</v>
      </c>
      <c r="I66" s="1"/>
      <c r="J66" s="5">
        <f t="shared" si="44"/>
        <v>2.0844533767278741</v>
      </c>
      <c r="K66" s="1"/>
      <c r="L66" s="1">
        <f t="shared" si="45"/>
        <v>-396</v>
      </c>
      <c r="M66" s="1"/>
      <c r="N66" s="5">
        <f t="shared" si="46"/>
        <v>-3.4273844555997926E-2</v>
      </c>
      <c r="O66" s="14"/>
      <c r="P66" s="1">
        <f>SUM(OSRRefP22_11x_0)</f>
        <v>22316</v>
      </c>
      <c r="Q66" s="1"/>
      <c r="R66" s="5">
        <f t="shared" si="47"/>
        <v>0.28375171750148959</v>
      </c>
      <c r="S66" s="1"/>
      <c r="T66" s="1">
        <f>SUM(OSRRefT22_11x_0)</f>
        <v>23108</v>
      </c>
      <c r="U66" s="1"/>
      <c r="V66" s="5">
        <f t="shared" si="48"/>
        <v>3.5453408716064354</v>
      </c>
      <c r="W66" s="1"/>
      <c r="X66" s="1">
        <f t="shared" si="49"/>
        <v>-792</v>
      </c>
      <c r="Y66" s="1"/>
      <c r="Z66" s="5">
        <f t="shared" si="50"/>
        <v>-3.4273844555997926E-2</v>
      </c>
    </row>
    <row r="67" spans="1:26" s="24" customFormat="1" hidden="1" outlineLevel="2" x14ac:dyDescent="0.3">
      <c r="A67" s="27"/>
      <c r="B67" s="11" t="str">
        <f>CONCATENATE("          ", "6401", " - ", "INTEREST EXPENSE")</f>
        <v xml:space="preserve">          6401 - INTEREST EXPENSE</v>
      </c>
      <c r="C67" s="11"/>
      <c r="D67" s="7">
        <v>11158</v>
      </c>
      <c r="E67" s="2"/>
      <c r="F67" s="8">
        <f t="shared" si="43"/>
        <v>0.18929860608161217</v>
      </c>
      <c r="G67" s="2"/>
      <c r="H67" s="7">
        <v>11554</v>
      </c>
      <c r="I67" s="2"/>
      <c r="J67" s="8">
        <f t="shared" si="44"/>
        <v>2.0844533767278741</v>
      </c>
      <c r="K67" s="2"/>
      <c r="L67" s="7">
        <f t="shared" si="45"/>
        <v>-396</v>
      </c>
      <c r="M67" s="2"/>
      <c r="N67" s="8">
        <f t="shared" si="46"/>
        <v>-3.4273844555997926E-2</v>
      </c>
      <c r="O67" s="11"/>
      <c r="P67" s="7">
        <v>22316</v>
      </c>
      <c r="Q67" s="2"/>
      <c r="R67" s="8">
        <f t="shared" si="47"/>
        <v>0.28375171750148959</v>
      </c>
      <c r="S67" s="2"/>
      <c r="T67" s="7">
        <v>23108</v>
      </c>
      <c r="U67" s="2"/>
      <c r="V67" s="8">
        <f t="shared" si="48"/>
        <v>3.5453408716064354</v>
      </c>
      <c r="W67" s="2"/>
      <c r="X67" s="7">
        <f t="shared" si="49"/>
        <v>-792</v>
      </c>
      <c r="Y67" s="2"/>
      <c r="Z67" s="8">
        <f t="shared" si="50"/>
        <v>-3.4273844555997926E-2</v>
      </c>
    </row>
    <row r="68" spans="1:26" s="28" customFormat="1" outlineLevel="1" collapsed="1" x14ac:dyDescent="0.3">
      <c r="A68" s="29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SUM(OSRRefD22_12x_0)</f>
        <v>1850</v>
      </c>
      <c r="E68" s="1"/>
      <c r="F68" s="5">
        <f t="shared" si="43"/>
        <v>3.1385769963343121E-2</v>
      </c>
      <c r="G68" s="1"/>
      <c r="H68" s="1">
        <f>SUM(OSRRefH22_12x_0)</f>
        <v>0</v>
      </c>
      <c r="I68" s="1"/>
      <c r="J68" s="5">
        <f t="shared" si="44"/>
        <v>0</v>
      </c>
      <c r="K68" s="1"/>
      <c r="L68" s="1">
        <f t="shared" si="45"/>
        <v>1850</v>
      </c>
      <c r="M68" s="1"/>
      <c r="N68" s="5">
        <f t="shared" si="46"/>
        <v>0</v>
      </c>
      <c r="O68" s="14"/>
      <c r="P68" s="1">
        <f>SUM(OSRRefP22_12x_0)</f>
        <v>3700</v>
      </c>
      <c r="Q68" s="1"/>
      <c r="R68" s="5">
        <f t="shared" si="47"/>
        <v>4.704612631096574E-2</v>
      </c>
      <c r="S68" s="1"/>
      <c r="T68" s="1">
        <f>SUM(OSRRefT22_12x_0)</f>
        <v>0</v>
      </c>
      <c r="U68" s="1"/>
      <c r="V68" s="5">
        <f t="shared" si="48"/>
        <v>0</v>
      </c>
      <c r="W68" s="1"/>
      <c r="X68" s="1">
        <f t="shared" si="49"/>
        <v>3700</v>
      </c>
      <c r="Y68" s="1"/>
      <c r="Z68" s="5">
        <f t="shared" si="50"/>
        <v>0</v>
      </c>
    </row>
    <row r="69" spans="1:26" s="24" customFormat="1" hidden="1" outlineLevel="2" x14ac:dyDescent="0.3">
      <c r="A69" s="27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8">
        <f t="shared" si="43"/>
        <v>3.1385769963343121E-2</v>
      </c>
      <c r="G69" s="2"/>
      <c r="H69" s="7"/>
      <c r="I69" s="2"/>
      <c r="J69" s="8">
        <f t="shared" si="44"/>
        <v>0</v>
      </c>
      <c r="K69" s="2"/>
      <c r="L69" s="7">
        <f t="shared" si="45"/>
        <v>1850</v>
      </c>
      <c r="M69" s="2"/>
      <c r="N69" s="8">
        <f t="shared" si="46"/>
        <v>0</v>
      </c>
      <c r="O69" s="11"/>
      <c r="P69" s="7">
        <v>3700</v>
      </c>
      <c r="Q69" s="2"/>
      <c r="R69" s="8">
        <f t="shared" si="47"/>
        <v>4.704612631096574E-2</v>
      </c>
      <c r="S69" s="2"/>
      <c r="T69" s="7"/>
      <c r="U69" s="2"/>
      <c r="V69" s="8">
        <f t="shared" si="48"/>
        <v>0</v>
      </c>
      <c r="W69" s="2"/>
      <c r="X69" s="7">
        <f t="shared" si="49"/>
        <v>3700</v>
      </c>
      <c r="Y69" s="2"/>
      <c r="Z69" s="8">
        <f t="shared" si="50"/>
        <v>0</v>
      </c>
    </row>
    <row r="70" spans="1:26" s="28" customFormat="1" outlineLevel="1" collapsed="1" x14ac:dyDescent="0.3">
      <c r="A70" s="29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SUM(OSRRefD22_13x_0)</f>
        <v>24416.530000000002</v>
      </c>
      <c r="E70" s="1"/>
      <c r="F70" s="5">
        <f t="shared" si="43"/>
        <v>0.41423329399084663</v>
      </c>
      <c r="G70" s="1"/>
      <c r="H70" s="1">
        <f>SUM(OSRRefH22_13x_0)</f>
        <v>4732.46</v>
      </c>
      <c r="I70" s="1"/>
      <c r="J70" s="5">
        <f t="shared" si="44"/>
        <v>0.85378156718275877</v>
      </c>
      <c r="K70" s="1"/>
      <c r="L70" s="1">
        <f t="shared" si="45"/>
        <v>19684.070000000003</v>
      </c>
      <c r="M70" s="1"/>
      <c r="N70" s="5">
        <f t="shared" si="46"/>
        <v>4.1593737717804276</v>
      </c>
      <c r="O70" s="14"/>
      <c r="P70" s="1">
        <f>SUM(OSRRefP22_13x_0)</f>
        <v>27548.240000000002</v>
      </c>
      <c r="Q70" s="1"/>
      <c r="R70" s="5">
        <f t="shared" si="47"/>
        <v>0.35028053477967536</v>
      </c>
      <c r="S70" s="1"/>
      <c r="T70" s="1">
        <f>SUM(OSRRefT22_13x_0)</f>
        <v>8956.869999999999</v>
      </c>
      <c r="U70" s="1"/>
      <c r="V70" s="5">
        <f t="shared" si="48"/>
        <v>1.3742062183081847</v>
      </c>
      <c r="W70" s="1"/>
      <c r="X70" s="1">
        <f t="shared" si="49"/>
        <v>18591.370000000003</v>
      </c>
      <c r="Y70" s="1"/>
      <c r="Z70" s="5">
        <f t="shared" si="50"/>
        <v>2.0756547767244591</v>
      </c>
    </row>
    <row r="71" spans="1:26" s="24" customFormat="1" hidden="1" outlineLevel="2" x14ac:dyDescent="0.3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7">
        <v>5177.72</v>
      </c>
      <c r="E71" s="2"/>
      <c r="F71" s="8">
        <f t="shared" si="43"/>
        <v>8.7841475056541052E-2</v>
      </c>
      <c r="G71" s="2"/>
      <c r="H71" s="7"/>
      <c r="I71" s="2"/>
      <c r="J71" s="8">
        <f t="shared" si="44"/>
        <v>0</v>
      </c>
      <c r="K71" s="2"/>
      <c r="L71" s="7">
        <f t="shared" si="45"/>
        <v>5177.72</v>
      </c>
      <c r="M71" s="2"/>
      <c r="N71" s="8">
        <f t="shared" si="46"/>
        <v>0</v>
      </c>
      <c r="O71" s="11"/>
      <c r="P71" s="7">
        <v>5177.72</v>
      </c>
      <c r="Q71" s="2"/>
      <c r="R71" s="8">
        <f t="shared" si="47"/>
        <v>6.5835586249409064E-2</v>
      </c>
      <c r="S71" s="2"/>
      <c r="T71" s="7"/>
      <c r="U71" s="2"/>
      <c r="V71" s="8">
        <f t="shared" si="48"/>
        <v>0</v>
      </c>
      <c r="W71" s="2"/>
      <c r="X71" s="7">
        <f t="shared" si="49"/>
        <v>5177.72</v>
      </c>
      <c r="Y71" s="2"/>
      <c r="Z71" s="8">
        <f t="shared" si="50"/>
        <v>0</v>
      </c>
    </row>
    <row r="72" spans="1:26" s="24" customFormat="1" hidden="1" outlineLevel="2" x14ac:dyDescent="0.3">
      <c r="A72" s="27"/>
      <c r="B72" s="11" t="str">
        <f>CONCATENATE("          ", "6373", " - ", "MAINTENANCE CONTRACTS")</f>
        <v xml:space="preserve">          6373 - MAINTENANCE CONTRACTS</v>
      </c>
      <c r="C72" s="11"/>
      <c r="D72" s="7"/>
      <c r="E72" s="2"/>
      <c r="F72" s="8">
        <f t="shared" si="43"/>
        <v>0</v>
      </c>
      <c r="G72" s="2"/>
      <c r="H72" s="7">
        <v>2041.06</v>
      </c>
      <c r="I72" s="2"/>
      <c r="J72" s="8">
        <f t="shared" si="44"/>
        <v>0.36822696980302877</v>
      </c>
      <c r="K72" s="2"/>
      <c r="L72" s="7">
        <f t="shared" si="45"/>
        <v>-2041.06</v>
      </c>
      <c r="M72" s="2"/>
      <c r="N72" s="8">
        <f t="shared" si="46"/>
        <v>-1</v>
      </c>
      <c r="O72" s="11"/>
      <c r="P72" s="7">
        <v>0.87</v>
      </c>
      <c r="Q72" s="2"/>
      <c r="R72" s="8">
        <f t="shared" si="47"/>
        <v>1.1062197267713566E-5</v>
      </c>
      <c r="S72" s="2"/>
      <c r="T72" s="7">
        <v>4394.6499999999996</v>
      </c>
      <c r="U72" s="2"/>
      <c r="V72" s="8">
        <f t="shared" si="48"/>
        <v>0.67424841013524406</v>
      </c>
      <c r="W72" s="2"/>
      <c r="X72" s="7">
        <f t="shared" si="49"/>
        <v>-4393.78</v>
      </c>
      <c r="Y72" s="2"/>
      <c r="Z72" s="8">
        <f t="shared" si="50"/>
        <v>-0.99980203201620155</v>
      </c>
    </row>
    <row r="73" spans="1:26" s="24" customFormat="1" hidden="1" outlineLevel="2" x14ac:dyDescent="0.3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19238.810000000001</v>
      </c>
      <c r="E73" s="2"/>
      <c r="F73" s="8">
        <f t="shared" si="43"/>
        <v>0.32639181893430558</v>
      </c>
      <c r="G73" s="2"/>
      <c r="H73" s="7">
        <v>2691.4</v>
      </c>
      <c r="I73" s="2"/>
      <c r="J73" s="8">
        <f t="shared" si="44"/>
        <v>0.48555459737973</v>
      </c>
      <c r="K73" s="2"/>
      <c r="L73" s="7">
        <f t="shared" si="45"/>
        <v>16547.41</v>
      </c>
      <c r="M73" s="2"/>
      <c r="N73" s="8">
        <f t="shared" si="46"/>
        <v>6.1482536969606896</v>
      </c>
      <c r="O73" s="11"/>
      <c r="P73" s="7">
        <v>22369.65</v>
      </c>
      <c r="Q73" s="2"/>
      <c r="R73" s="8">
        <f t="shared" si="47"/>
        <v>0.2844338863329986</v>
      </c>
      <c r="S73" s="2"/>
      <c r="T73" s="7">
        <v>4562.22</v>
      </c>
      <c r="U73" s="2"/>
      <c r="V73" s="8">
        <f t="shared" si="48"/>
        <v>0.69995780817294062</v>
      </c>
      <c r="W73" s="2"/>
      <c r="X73" s="7">
        <f t="shared" si="49"/>
        <v>17807.43</v>
      </c>
      <c r="Y73" s="2"/>
      <c r="Z73" s="8">
        <f t="shared" si="50"/>
        <v>3.9032378973394528</v>
      </c>
    </row>
    <row r="74" spans="1:26" s="28" customFormat="1" outlineLevel="1" collapsed="1" x14ac:dyDescent="0.3">
      <c r="A74" s="29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SUM(OSRRefD22_14x_0)</f>
        <v>23789.660000000003</v>
      </c>
      <c r="E74" s="1"/>
      <c r="F74" s="5">
        <f t="shared" ref="F74:F78" si="51">IF(D$12=0,0,D74/D$12)</f>
        <v>0.40359826825197048</v>
      </c>
      <c r="G74" s="1"/>
      <c r="H74" s="1">
        <f>SUM(OSRRefH22_14x_0)</f>
        <v>4020.02</v>
      </c>
      <c r="I74" s="1"/>
      <c r="J74" s="5">
        <f t="shared" ref="J74:J78" si="52">IF(H$12=0,0,H74/H$12)</f>
        <v>0.72525049883274961</v>
      </c>
      <c r="K74" s="1"/>
      <c r="L74" s="1">
        <f t="shared" ref="L74:L78" si="53">+D74-H74</f>
        <v>19769.640000000003</v>
      </c>
      <c r="M74" s="1"/>
      <c r="N74" s="5">
        <f t="shared" ref="N74:N78" si="54">IF(H74=0,0,L74/H74)</f>
        <v>4.9177964288734888</v>
      </c>
      <c r="O74" s="14"/>
      <c r="P74" s="1">
        <f>SUM(OSRRefP22_14x_0)</f>
        <v>28530.739999999998</v>
      </c>
      <c r="Q74" s="1"/>
      <c r="R74" s="5">
        <f t="shared" ref="R74:R78" si="55">IF(P$12=0,0,P74/P$12)</f>
        <v>0.36277318859062774</v>
      </c>
      <c r="S74" s="1"/>
      <c r="T74" s="1">
        <f>SUM(OSRRefT22_14x_0)</f>
        <v>4822.62</v>
      </c>
      <c r="U74" s="1"/>
      <c r="V74" s="5">
        <f t="shared" ref="V74:V78" si="56">IF(T$12=0,0,T74/T$12)</f>
        <v>0.73990963277767996</v>
      </c>
      <c r="W74" s="1"/>
      <c r="X74" s="1">
        <f t="shared" ref="X74:X78" si="57">+P74-T74</f>
        <v>23708.12</v>
      </c>
      <c r="Y74" s="1"/>
      <c r="Z74" s="5">
        <f t="shared" ref="Z74:Z78" si="58">IF(T74=0,0,X74/T74)</f>
        <v>4.9160248993285807</v>
      </c>
    </row>
    <row r="75" spans="1:26" s="24" customFormat="1" hidden="1" outlineLevel="2" x14ac:dyDescent="0.3">
      <c r="A75" s="27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1341.9</v>
      </c>
      <c r="E75" s="2"/>
      <c r="F75" s="8">
        <f t="shared" si="51"/>
        <v>2.2765710656113585E-2</v>
      </c>
      <c r="G75" s="2"/>
      <c r="H75" s="7">
        <v>-283.27</v>
      </c>
      <c r="I75" s="2"/>
      <c r="J75" s="8">
        <f t="shared" si="52"/>
        <v>-5.110464843566772E-2</v>
      </c>
      <c r="K75" s="2"/>
      <c r="L75" s="7">
        <f t="shared" si="53"/>
        <v>1625.17</v>
      </c>
      <c r="M75" s="2"/>
      <c r="N75" s="8">
        <f t="shared" si="54"/>
        <v>-5.7371765453454309</v>
      </c>
      <c r="O75" s="11"/>
      <c r="P75" s="7">
        <v>2163.85</v>
      </c>
      <c r="Q75" s="2"/>
      <c r="R75" s="8">
        <f t="shared" si="55"/>
        <v>2.7513719031887353E-2</v>
      </c>
      <c r="S75" s="2"/>
      <c r="T75" s="7">
        <v>3.35</v>
      </c>
      <c r="U75" s="2"/>
      <c r="V75" s="8">
        <f t="shared" si="56"/>
        <v>5.1397316599799024E-4</v>
      </c>
      <c r="W75" s="2"/>
      <c r="X75" s="7">
        <f t="shared" si="57"/>
        <v>2160.5</v>
      </c>
      <c r="Y75" s="2"/>
      <c r="Z75" s="8">
        <f t="shared" si="58"/>
        <v>644.92537313432831</v>
      </c>
    </row>
    <row r="76" spans="1:26" s="24" customFormat="1" hidden="1" outlineLevel="2" x14ac:dyDescent="0.3">
      <c r="A76" s="27"/>
      <c r="B76" s="11" t="str">
        <f>CONCATENATE("          ", "6284", " - ", "TRASH REMOVAL EXPENSE")</f>
        <v xml:space="preserve">          6284 - TRASH REMOVAL EXPENSE</v>
      </c>
      <c r="C76" s="11"/>
      <c r="D76" s="7"/>
      <c r="E76" s="2"/>
      <c r="F76" s="8">
        <f t="shared" si="51"/>
        <v>0</v>
      </c>
      <c r="G76" s="2"/>
      <c r="H76" s="7">
        <v>1000</v>
      </c>
      <c r="I76" s="2"/>
      <c r="J76" s="8">
        <f t="shared" si="52"/>
        <v>0.18040967428837409</v>
      </c>
      <c r="K76" s="2"/>
      <c r="L76" s="7">
        <f t="shared" si="53"/>
        <v>-1000</v>
      </c>
      <c r="M76" s="2"/>
      <c r="N76" s="8">
        <f t="shared" si="54"/>
        <v>-1</v>
      </c>
      <c r="O76" s="11"/>
      <c r="P76" s="7"/>
      <c r="Q76" s="2"/>
      <c r="R76" s="8">
        <f t="shared" si="55"/>
        <v>0</v>
      </c>
      <c r="S76" s="2"/>
      <c r="T76" s="7">
        <v>2000</v>
      </c>
      <c r="U76" s="2"/>
      <c r="V76" s="8">
        <f t="shared" si="56"/>
        <v>0.30684965134208375</v>
      </c>
      <c r="W76" s="2"/>
      <c r="X76" s="7">
        <f t="shared" si="57"/>
        <v>-2000</v>
      </c>
      <c r="Y76" s="2"/>
      <c r="Z76" s="8">
        <f t="shared" si="58"/>
        <v>-1</v>
      </c>
    </row>
    <row r="77" spans="1:26" s="24" customFormat="1" hidden="1" outlineLevel="2" x14ac:dyDescent="0.3">
      <c r="A77" s="27"/>
      <c r="B77" s="11" t="str">
        <f>CONCATENATE("          ", "6285", " - ", "JANITORIAL SERVICES")</f>
        <v xml:space="preserve">          6285 - JANITORIAL SERVICES</v>
      </c>
      <c r="C77" s="11"/>
      <c r="D77" s="7">
        <v>22236.080000000002</v>
      </c>
      <c r="E77" s="2"/>
      <c r="F77" s="8">
        <f t="shared" si="51"/>
        <v>0.37724134690080796</v>
      </c>
      <c r="G77" s="2"/>
      <c r="H77" s="7">
        <v>3155.58</v>
      </c>
      <c r="I77" s="2"/>
      <c r="J77" s="8">
        <f t="shared" si="52"/>
        <v>0.56929715999090746</v>
      </c>
      <c r="K77" s="2"/>
      <c r="L77" s="7">
        <f t="shared" si="53"/>
        <v>19080.5</v>
      </c>
      <c r="M77" s="2"/>
      <c r="N77" s="8">
        <f t="shared" si="54"/>
        <v>6.0465904841582212</v>
      </c>
      <c r="O77" s="11"/>
      <c r="P77" s="7">
        <v>25995.47</v>
      </c>
      <c r="Q77" s="2"/>
      <c r="R77" s="8">
        <f t="shared" si="55"/>
        <v>0.33053680138727581</v>
      </c>
      <c r="S77" s="2"/>
      <c r="T77" s="7">
        <v>2350.98</v>
      </c>
      <c r="U77" s="2"/>
      <c r="V77" s="8">
        <f t="shared" si="56"/>
        <v>0.36069869665610599</v>
      </c>
      <c r="W77" s="2"/>
      <c r="X77" s="7">
        <f t="shared" si="57"/>
        <v>23644.49</v>
      </c>
      <c r="Y77" s="2"/>
      <c r="Z77" s="8">
        <f t="shared" si="58"/>
        <v>10.05729100205021</v>
      </c>
    </row>
    <row r="78" spans="1:26" s="24" customFormat="1" hidden="1" outlineLevel="2" x14ac:dyDescent="0.3">
      <c r="A78" s="27"/>
      <c r="B78" s="11" t="str">
        <f>CONCATENATE("          ", "6286", " - ", "LAUNDRY EXPENSE")</f>
        <v xml:space="preserve">          6286 - LAUNDRY EXPENSE</v>
      </c>
      <c r="C78" s="11"/>
      <c r="D78" s="7">
        <v>211.68</v>
      </c>
      <c r="E78" s="2"/>
      <c r="F78" s="8">
        <f t="shared" si="51"/>
        <v>3.5912106950489035E-3</v>
      </c>
      <c r="G78" s="2"/>
      <c r="H78" s="7">
        <v>147.71</v>
      </c>
      <c r="I78" s="2"/>
      <c r="J78" s="8">
        <f t="shared" si="52"/>
        <v>2.6648312989135736E-2</v>
      </c>
      <c r="K78" s="2"/>
      <c r="L78" s="7">
        <f t="shared" si="53"/>
        <v>63.97</v>
      </c>
      <c r="M78" s="2"/>
      <c r="N78" s="8">
        <f t="shared" si="54"/>
        <v>0.43307832915848621</v>
      </c>
      <c r="O78" s="11"/>
      <c r="P78" s="7">
        <v>371.42</v>
      </c>
      <c r="Q78" s="2"/>
      <c r="R78" s="8">
        <f t="shared" si="55"/>
        <v>4.7226681714645667E-3</v>
      </c>
      <c r="S78" s="2"/>
      <c r="T78" s="7">
        <v>468.29</v>
      </c>
      <c r="U78" s="2"/>
      <c r="V78" s="8">
        <f t="shared" si="56"/>
        <v>7.1847311613492199E-2</v>
      </c>
      <c r="W78" s="2"/>
      <c r="X78" s="7">
        <f t="shared" si="57"/>
        <v>-96.87</v>
      </c>
      <c r="Y78" s="2"/>
      <c r="Z78" s="8">
        <f t="shared" si="58"/>
        <v>-0.20685899762967391</v>
      </c>
    </row>
    <row r="79" spans="1:26" s="28" customFormat="1" outlineLevel="1" collapsed="1" x14ac:dyDescent="0.3">
      <c r="A79" s="29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593.59</v>
      </c>
      <c r="E79" s="1"/>
      <c r="F79" s="5">
        <f t="shared" ref="F79:F88" si="59">IF(D$12=0,0,D79/D$12)</f>
        <v>1.0070421185157212E-2</v>
      </c>
      <c r="G79" s="1"/>
      <c r="H79" s="1">
        <f>SUM(OSRRefH22_15x_0)</f>
        <v>0</v>
      </c>
      <c r="I79" s="1"/>
      <c r="J79" s="5">
        <f t="shared" ref="J79:J88" si="60">IF(H$12=0,0,H79/H$12)</f>
        <v>0</v>
      </c>
      <c r="K79" s="1"/>
      <c r="L79" s="1">
        <f t="shared" ref="L79:L88" si="61">+D79-H79</f>
        <v>593.59</v>
      </c>
      <c r="M79" s="1"/>
      <c r="N79" s="5">
        <f t="shared" ref="N79:N88" si="62">IF(H79=0,0,L79/H79)</f>
        <v>0</v>
      </c>
      <c r="O79" s="14"/>
      <c r="P79" s="1">
        <f>SUM(OSRRefP22_15x_0)</f>
        <v>724.26</v>
      </c>
      <c r="Q79" s="1"/>
      <c r="R79" s="5">
        <f t="shared" ref="R79:R88" si="63">IF(P$12=0,0,P79/P$12)</f>
        <v>9.2090884978324444E-3</v>
      </c>
      <c r="S79" s="1"/>
      <c r="T79" s="1">
        <f>SUM(OSRRefT22_15x_0)</f>
        <v>9.32</v>
      </c>
      <c r="U79" s="1"/>
      <c r="V79" s="5">
        <f t="shared" ref="V79:V88" si="64">IF(T$12=0,0,T79/T$12)</f>
        <v>1.4299193752541103E-3</v>
      </c>
      <c r="W79" s="1"/>
      <c r="X79" s="1">
        <f t="shared" ref="X79:X88" si="65">+P79-T79</f>
        <v>714.93999999999994</v>
      </c>
      <c r="Y79" s="1"/>
      <c r="Z79" s="5">
        <f t="shared" ref="Z79:Z88" si="66">IF(T79=0,0,X79/T79)</f>
        <v>76.710300429184542</v>
      </c>
    </row>
    <row r="80" spans="1:26" s="24" customFormat="1" hidden="1" outlineLevel="2" x14ac:dyDescent="0.3">
      <c r="A80" s="27"/>
      <c r="B80" s="11" t="str">
        <f>CONCATENATE("          ", "6275", " - ", "SUBSCRIPTIONS")</f>
        <v xml:space="preserve">          6275 - SUBSCRIPTIONS</v>
      </c>
      <c r="C80" s="11"/>
      <c r="D80" s="7">
        <v>593.59</v>
      </c>
      <c r="E80" s="2"/>
      <c r="F80" s="8">
        <f t="shared" si="59"/>
        <v>1.0070421185157212E-2</v>
      </c>
      <c r="G80" s="2"/>
      <c r="H80" s="7"/>
      <c r="I80" s="2"/>
      <c r="J80" s="8">
        <f t="shared" si="60"/>
        <v>0</v>
      </c>
      <c r="K80" s="2"/>
      <c r="L80" s="7">
        <f t="shared" si="61"/>
        <v>593.59</v>
      </c>
      <c r="M80" s="2"/>
      <c r="N80" s="8">
        <f t="shared" si="62"/>
        <v>0</v>
      </c>
      <c r="O80" s="11"/>
      <c r="P80" s="7">
        <v>724.26</v>
      </c>
      <c r="Q80" s="2"/>
      <c r="R80" s="8">
        <f t="shared" si="63"/>
        <v>9.2090884978324444E-3</v>
      </c>
      <c r="S80" s="2"/>
      <c r="T80" s="7">
        <v>9.32</v>
      </c>
      <c r="U80" s="2"/>
      <c r="V80" s="8">
        <f t="shared" si="64"/>
        <v>1.4299193752541103E-3</v>
      </c>
      <c r="W80" s="2"/>
      <c r="X80" s="7">
        <f t="shared" si="65"/>
        <v>714.93999999999994</v>
      </c>
      <c r="Y80" s="2"/>
      <c r="Z80" s="8">
        <f t="shared" si="66"/>
        <v>76.710300429184542</v>
      </c>
    </row>
    <row r="81" spans="1:26" s="28" customFormat="1" outlineLevel="1" collapsed="1" x14ac:dyDescent="0.3">
      <c r="A81" s="29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SUM(OSRRefD22_16x_0)</f>
        <v>3851.58</v>
      </c>
      <c r="E81" s="1"/>
      <c r="F81" s="5">
        <f t="shared" si="59"/>
        <v>6.5343137229953024E-2</v>
      </c>
      <c r="G81" s="1"/>
      <c r="H81" s="1">
        <f>SUM(OSRRefH22_16x_0)</f>
        <v>-28537.24</v>
      </c>
      <c r="I81" s="1"/>
      <c r="J81" s="5">
        <f t="shared" si="60"/>
        <v>-5.1483941734891605</v>
      </c>
      <c r="K81" s="1"/>
      <c r="L81" s="1">
        <f t="shared" si="61"/>
        <v>32388.82</v>
      </c>
      <c r="M81" s="1"/>
      <c r="N81" s="5">
        <f t="shared" si="62"/>
        <v>-1.134966801274405</v>
      </c>
      <c r="O81" s="14"/>
      <c r="P81" s="1">
        <f>SUM(OSRRefP22_16x_0)</f>
        <v>5694.23</v>
      </c>
      <c r="Q81" s="1"/>
      <c r="R81" s="5">
        <f t="shared" si="63"/>
        <v>7.2403098330727139E-2</v>
      </c>
      <c r="S81" s="1"/>
      <c r="T81" s="1">
        <f>SUM(OSRRefT22_16x_0)</f>
        <v>-27843.83</v>
      </c>
      <c r="U81" s="1"/>
      <c r="V81" s="5">
        <f t="shared" si="64"/>
        <v>-4.2719347637641256</v>
      </c>
      <c r="W81" s="1"/>
      <c r="X81" s="1">
        <f t="shared" si="65"/>
        <v>33538.06</v>
      </c>
      <c r="Y81" s="1"/>
      <c r="Z81" s="5">
        <f t="shared" si="66"/>
        <v>-1.2045059892981675</v>
      </c>
    </row>
    <row r="82" spans="1:26" s="24" customFormat="1" hidden="1" outlineLevel="2" x14ac:dyDescent="0.3">
      <c r="A82" s="27"/>
      <c r="B82" s="11" t="str">
        <f>CONCATENATE("          ", "6234", " - ", "EXPENDABLE SUPPLIES &amp; EQUIPMEN")</f>
        <v xml:space="preserve">          6234 - EXPENDABLE SUPPLIES &amp; EQUIPMEN</v>
      </c>
      <c r="C82" s="11"/>
      <c r="D82" s="7"/>
      <c r="E82" s="2"/>
      <c r="F82" s="8">
        <f t="shared" si="59"/>
        <v>0</v>
      </c>
      <c r="G82" s="2"/>
      <c r="H82" s="7">
        <v>255.78</v>
      </c>
      <c r="I82" s="2"/>
      <c r="J82" s="8">
        <f t="shared" si="60"/>
        <v>4.6145186489480322E-2</v>
      </c>
      <c r="K82" s="2"/>
      <c r="L82" s="7">
        <f t="shared" si="61"/>
        <v>-255.78</v>
      </c>
      <c r="M82" s="2"/>
      <c r="N82" s="8">
        <f t="shared" si="62"/>
        <v>-1</v>
      </c>
      <c r="O82" s="11"/>
      <c r="P82" s="7"/>
      <c r="Q82" s="2"/>
      <c r="R82" s="8">
        <f t="shared" si="63"/>
        <v>0</v>
      </c>
      <c r="S82" s="2"/>
      <c r="T82" s="7">
        <v>255.78</v>
      </c>
      <c r="U82" s="2"/>
      <c r="V82" s="8">
        <f t="shared" si="64"/>
        <v>3.9243001910139089E-2</v>
      </c>
      <c r="W82" s="2"/>
      <c r="X82" s="7">
        <f t="shared" si="65"/>
        <v>-255.78</v>
      </c>
      <c r="Y82" s="2"/>
      <c r="Z82" s="8">
        <f t="shared" si="66"/>
        <v>-1</v>
      </c>
    </row>
    <row r="83" spans="1:26" s="24" customFormat="1" hidden="1" outlineLevel="2" x14ac:dyDescent="0.3">
      <c r="A83" s="27"/>
      <c r="B83" s="11" t="str">
        <f>CONCATENATE("          ", "6235", " - ", "COVID-19 EXPENSES")</f>
        <v xml:space="preserve">          6235 - COVID-19 EXPENSES</v>
      </c>
      <c r="C83" s="11"/>
      <c r="D83" s="7"/>
      <c r="E83" s="2"/>
      <c r="F83" s="8">
        <f t="shared" si="59"/>
        <v>0</v>
      </c>
      <c r="G83" s="2"/>
      <c r="H83" s="7">
        <v>286.14999999999998</v>
      </c>
      <c r="I83" s="2"/>
      <c r="J83" s="8">
        <f t="shared" si="60"/>
        <v>5.1624228297618237E-2</v>
      </c>
      <c r="K83" s="2"/>
      <c r="L83" s="7">
        <f t="shared" si="61"/>
        <v>-286.14999999999998</v>
      </c>
      <c r="M83" s="2"/>
      <c r="N83" s="8">
        <f t="shared" si="62"/>
        <v>-1</v>
      </c>
      <c r="O83" s="11"/>
      <c r="P83" s="7"/>
      <c r="Q83" s="2"/>
      <c r="R83" s="8">
        <f t="shared" si="63"/>
        <v>0</v>
      </c>
      <c r="S83" s="2"/>
      <c r="T83" s="7">
        <v>1029.24</v>
      </c>
      <c r="U83" s="2"/>
      <c r="V83" s="8">
        <f t="shared" si="64"/>
        <v>0.15791096757366313</v>
      </c>
      <c r="W83" s="2"/>
      <c r="X83" s="7">
        <f t="shared" si="65"/>
        <v>-1029.24</v>
      </c>
      <c r="Y83" s="2"/>
      <c r="Z83" s="8">
        <f t="shared" si="66"/>
        <v>-1</v>
      </c>
    </row>
    <row r="84" spans="1:26" s="24" customFormat="1" hidden="1" outlineLevel="2" x14ac:dyDescent="0.3">
      <c r="A84" s="27"/>
      <c r="B84" s="11" t="str">
        <f>CONCATENATE("          ", "6237", " - ", "JANITORIAL SUPPLIES")</f>
        <v xml:space="preserve">          6237 - JANITORIAL SUPPLIES</v>
      </c>
      <c r="C84" s="11"/>
      <c r="D84" s="7">
        <v>1453.2</v>
      </c>
      <c r="E84" s="2"/>
      <c r="F84" s="8">
        <f t="shared" si="59"/>
        <v>2.4653946438232554E-2</v>
      </c>
      <c r="G84" s="2"/>
      <c r="H84" s="7"/>
      <c r="I84" s="2"/>
      <c r="J84" s="8">
        <f t="shared" si="60"/>
        <v>0</v>
      </c>
      <c r="K84" s="2"/>
      <c r="L84" s="7">
        <f t="shared" si="61"/>
        <v>1453.2</v>
      </c>
      <c r="M84" s="2"/>
      <c r="N84" s="8">
        <f t="shared" si="62"/>
        <v>0</v>
      </c>
      <c r="O84" s="11"/>
      <c r="P84" s="7">
        <v>2455.37</v>
      </c>
      <c r="Q84" s="2"/>
      <c r="R84" s="8">
        <f t="shared" si="63"/>
        <v>3.1220445178420524E-2</v>
      </c>
      <c r="S84" s="2"/>
      <c r="T84" s="7"/>
      <c r="U84" s="2"/>
      <c r="V84" s="8">
        <f t="shared" si="64"/>
        <v>0</v>
      </c>
      <c r="W84" s="2"/>
      <c r="X84" s="7">
        <f t="shared" si="65"/>
        <v>2455.37</v>
      </c>
      <c r="Y84" s="2"/>
      <c r="Z84" s="8">
        <f t="shared" si="66"/>
        <v>0</v>
      </c>
    </row>
    <row r="85" spans="1:26" s="24" customFormat="1" hidden="1" outlineLevel="2" x14ac:dyDescent="0.3">
      <c r="A85" s="27"/>
      <c r="B85" s="11" t="str">
        <f>CONCATENATE("          ", "6239", " - ", "KITCHEN SUPPLIES")</f>
        <v xml:space="preserve">          6239 - KITCHEN SUPPLIES</v>
      </c>
      <c r="C85" s="11"/>
      <c r="D85" s="7">
        <v>218.6</v>
      </c>
      <c r="E85" s="2"/>
      <c r="F85" s="8">
        <f t="shared" si="59"/>
        <v>3.7086104399928679E-3</v>
      </c>
      <c r="G85" s="2"/>
      <c r="H85" s="7"/>
      <c r="I85" s="2"/>
      <c r="J85" s="8">
        <f t="shared" si="60"/>
        <v>0</v>
      </c>
      <c r="K85" s="2"/>
      <c r="L85" s="7">
        <f t="shared" si="61"/>
        <v>218.6</v>
      </c>
      <c r="M85" s="2"/>
      <c r="N85" s="8">
        <f t="shared" si="62"/>
        <v>0</v>
      </c>
      <c r="O85" s="11"/>
      <c r="P85" s="7">
        <v>250.63</v>
      </c>
      <c r="Q85" s="2"/>
      <c r="R85" s="8">
        <f t="shared" si="63"/>
        <v>3.1868028749506331E-3</v>
      </c>
      <c r="S85" s="2"/>
      <c r="T85" s="7"/>
      <c r="U85" s="2"/>
      <c r="V85" s="8">
        <f t="shared" si="64"/>
        <v>0</v>
      </c>
      <c r="W85" s="2"/>
      <c r="X85" s="7">
        <f t="shared" si="65"/>
        <v>250.63</v>
      </c>
      <c r="Y85" s="2"/>
      <c r="Z85" s="8">
        <f t="shared" si="66"/>
        <v>0</v>
      </c>
    </row>
    <row r="86" spans="1:26" s="24" customFormat="1" hidden="1" outlineLevel="2" x14ac:dyDescent="0.3">
      <c r="A86" s="27"/>
      <c r="B86" s="11" t="str">
        <f>CONCATENATE("          ", "6241", " - ", "OFFICE EXPENSE")</f>
        <v xml:space="preserve">          6241 - OFFICE EXPENSE</v>
      </c>
      <c r="C86" s="11"/>
      <c r="D86" s="7">
        <v>1358.93</v>
      </c>
      <c r="E86" s="2"/>
      <c r="F86" s="8">
        <f t="shared" si="59"/>
        <v>2.3054629392586956E-2</v>
      </c>
      <c r="G86" s="2"/>
      <c r="H86" s="7">
        <v>-29159.45</v>
      </c>
      <c r="I86" s="2"/>
      <c r="J86" s="8">
        <f t="shared" si="60"/>
        <v>-5.2606468769281296</v>
      </c>
      <c r="K86" s="2"/>
      <c r="L86" s="7">
        <f t="shared" si="61"/>
        <v>30518.38</v>
      </c>
      <c r="M86" s="2"/>
      <c r="N86" s="8">
        <f t="shared" si="62"/>
        <v>-1.0466034167311111</v>
      </c>
      <c r="O86" s="11"/>
      <c r="P86" s="7">
        <v>2002</v>
      </c>
      <c r="Q86" s="2"/>
      <c r="R86" s="8">
        <f t="shared" si="63"/>
        <v>2.5455768885014437E-2</v>
      </c>
      <c r="S86" s="2"/>
      <c r="T86" s="7">
        <v>-29209.13</v>
      </c>
      <c r="U86" s="2"/>
      <c r="V86" s="8">
        <f t="shared" si="64"/>
        <v>-4.4814056782527993</v>
      </c>
      <c r="W86" s="2"/>
      <c r="X86" s="7">
        <f t="shared" si="65"/>
        <v>31211.13</v>
      </c>
      <c r="Y86" s="2"/>
      <c r="Z86" s="8">
        <f t="shared" si="66"/>
        <v>-1.0685402132826278</v>
      </c>
    </row>
    <row r="87" spans="1:26" s="24" customFormat="1" hidden="1" outlineLevel="2" x14ac:dyDescent="0.3">
      <c r="A87" s="27"/>
      <c r="B87" s="11" t="str">
        <f>CONCATENATE("          ", "6243", " - ", "PAPER SUPPLIES")</f>
        <v xml:space="preserve">          6243 - PAPER SUPPLIES</v>
      </c>
      <c r="C87" s="11"/>
      <c r="D87" s="7">
        <v>320.85000000000002</v>
      </c>
      <c r="E87" s="2"/>
      <c r="F87" s="8">
        <f t="shared" si="59"/>
        <v>5.4433104285073735E-3</v>
      </c>
      <c r="G87" s="2"/>
      <c r="H87" s="7"/>
      <c r="I87" s="2"/>
      <c r="J87" s="8">
        <f t="shared" si="60"/>
        <v>0</v>
      </c>
      <c r="K87" s="2"/>
      <c r="L87" s="7">
        <f t="shared" si="61"/>
        <v>320.85000000000002</v>
      </c>
      <c r="M87" s="2"/>
      <c r="N87" s="8">
        <f t="shared" si="62"/>
        <v>0</v>
      </c>
      <c r="O87" s="11"/>
      <c r="P87" s="7">
        <v>486.23</v>
      </c>
      <c r="Q87" s="2"/>
      <c r="R87" s="8">
        <f t="shared" si="63"/>
        <v>6.1824967557245602E-3</v>
      </c>
      <c r="S87" s="2"/>
      <c r="T87" s="7"/>
      <c r="U87" s="2"/>
      <c r="V87" s="8">
        <f t="shared" si="64"/>
        <v>0</v>
      </c>
      <c r="W87" s="2"/>
      <c r="X87" s="7">
        <f t="shared" si="65"/>
        <v>486.23</v>
      </c>
      <c r="Y87" s="2"/>
      <c r="Z87" s="8">
        <f t="shared" si="66"/>
        <v>0</v>
      </c>
    </row>
    <row r="88" spans="1:26" s="24" customFormat="1" hidden="1" outlineLevel="2" x14ac:dyDescent="0.3">
      <c r="A88" s="27"/>
      <c r="B88" s="11" t="str">
        <f>CONCATENATE("          ", "6247", " - ", "STORE SUPPLIES")</f>
        <v xml:space="preserve">          6247 - STORE SUPPLIES</v>
      </c>
      <c r="C88" s="11"/>
      <c r="D88" s="7">
        <v>500</v>
      </c>
      <c r="E88" s="2"/>
      <c r="F88" s="8">
        <f t="shared" si="59"/>
        <v>8.4826405306332748E-3</v>
      </c>
      <c r="G88" s="2"/>
      <c r="H88" s="7">
        <v>80.28</v>
      </c>
      <c r="I88" s="2"/>
      <c r="J88" s="8">
        <f t="shared" si="60"/>
        <v>1.4483288651870671E-2</v>
      </c>
      <c r="K88" s="2"/>
      <c r="L88" s="7">
        <f t="shared" si="61"/>
        <v>419.72</v>
      </c>
      <c r="M88" s="2"/>
      <c r="N88" s="8">
        <f t="shared" si="62"/>
        <v>5.2282012954658699</v>
      </c>
      <c r="O88" s="11"/>
      <c r="P88" s="7">
        <v>500</v>
      </c>
      <c r="Q88" s="2"/>
      <c r="R88" s="8">
        <f t="shared" si="63"/>
        <v>6.3575846366169921E-3</v>
      </c>
      <c r="S88" s="2"/>
      <c r="T88" s="7">
        <v>80.28</v>
      </c>
      <c r="U88" s="2"/>
      <c r="V88" s="8">
        <f t="shared" si="64"/>
        <v>1.2316945004871242E-2</v>
      </c>
      <c r="W88" s="2"/>
      <c r="X88" s="7">
        <f t="shared" si="65"/>
        <v>419.72</v>
      </c>
      <c r="Y88" s="2"/>
      <c r="Z88" s="8">
        <f t="shared" si="66"/>
        <v>5.2282012954658699</v>
      </c>
    </row>
    <row r="89" spans="1:26" s="28" customFormat="1" outlineLevel="1" collapsed="1" x14ac:dyDescent="0.3">
      <c r="A89" s="29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SUM(OSRRefD22_17x_0)</f>
        <v>873.15</v>
      </c>
      <c r="E89" s="1"/>
      <c r="F89" s="5">
        <f t="shared" ref="F89:F94" si="67">IF(D$12=0,0,D89/D$12)</f>
        <v>1.4813235158644888E-2</v>
      </c>
      <c r="G89" s="1"/>
      <c r="H89" s="1">
        <f>SUM(OSRRefH22_17x_0)</f>
        <v>1617.52</v>
      </c>
      <c r="I89" s="1"/>
      <c r="J89" s="5">
        <f t="shared" ref="J89:J94" si="68">IF(H$12=0,0,H89/H$12)</f>
        <v>0.29181625635493086</v>
      </c>
      <c r="K89" s="1"/>
      <c r="L89" s="1">
        <f t="shared" ref="L89:L94" si="69">+D89-H89</f>
        <v>-744.37</v>
      </c>
      <c r="M89" s="1"/>
      <c r="N89" s="5">
        <f t="shared" ref="N89:N94" si="70">IF(H89=0,0,L89/H89)</f>
        <v>-0.46019214600128594</v>
      </c>
      <c r="O89" s="14"/>
      <c r="P89" s="1">
        <f>SUM(OSRRefP22_17x_0)</f>
        <v>1515.5</v>
      </c>
      <c r="Q89" s="1"/>
      <c r="R89" s="5">
        <f t="shared" ref="R89:R94" si="71">IF(P$12=0,0,P89/P$12)</f>
        <v>1.9269839033586103E-2</v>
      </c>
      <c r="S89" s="1"/>
      <c r="T89" s="1">
        <f>SUM(OSRRefT22_17x_0)</f>
        <v>3210.15</v>
      </c>
      <c r="U89" s="1"/>
      <c r="V89" s="5">
        <f t="shared" ref="V89:V94" si="72">IF(T$12=0,0,T89/T$12)</f>
        <v>0.49251670412789506</v>
      </c>
      <c r="W89" s="1"/>
      <c r="X89" s="1">
        <f t="shared" ref="X89:X94" si="73">+P89-T89</f>
        <v>-1694.65</v>
      </c>
      <c r="Y89" s="1"/>
      <c r="Z89" s="5">
        <f t="shared" ref="Z89:Z94" si="74">IF(T89=0,0,X89/T89)</f>
        <v>-0.52790368051337166</v>
      </c>
    </row>
    <row r="90" spans="1:26" s="24" customFormat="1" hidden="1" outlineLevel="2" x14ac:dyDescent="0.3">
      <c r="A90" s="27"/>
      <c r="B90" s="11" t="str">
        <f>CONCATENATE("          ", "6309", " - ", "TELEPHONE")</f>
        <v xml:space="preserve">          6309 - TELEPHONE</v>
      </c>
      <c r="C90" s="11"/>
      <c r="D90" s="7">
        <v>873.15</v>
      </c>
      <c r="E90" s="2"/>
      <c r="F90" s="8">
        <f t="shared" si="67"/>
        <v>1.4813235158644888E-2</v>
      </c>
      <c r="G90" s="2"/>
      <c r="H90" s="7">
        <v>1617.52</v>
      </c>
      <c r="I90" s="2"/>
      <c r="J90" s="8">
        <f t="shared" si="68"/>
        <v>0.29181625635493086</v>
      </c>
      <c r="K90" s="2"/>
      <c r="L90" s="7">
        <f t="shared" si="69"/>
        <v>-744.37</v>
      </c>
      <c r="M90" s="2"/>
      <c r="N90" s="8">
        <f t="shared" si="70"/>
        <v>-0.46019214600128594</v>
      </c>
      <c r="O90" s="11"/>
      <c r="P90" s="7">
        <v>1515.5</v>
      </c>
      <c r="Q90" s="2"/>
      <c r="R90" s="8">
        <f t="shared" si="71"/>
        <v>1.9269839033586103E-2</v>
      </c>
      <c r="S90" s="2"/>
      <c r="T90" s="7">
        <v>3210.15</v>
      </c>
      <c r="U90" s="2"/>
      <c r="V90" s="8">
        <f t="shared" si="72"/>
        <v>0.49251670412789506</v>
      </c>
      <c r="W90" s="2"/>
      <c r="X90" s="7">
        <f t="shared" si="73"/>
        <v>-1694.65</v>
      </c>
      <c r="Y90" s="2"/>
      <c r="Z90" s="8">
        <f t="shared" si="74"/>
        <v>-0.52790368051337166</v>
      </c>
    </row>
    <row r="91" spans="1:26" s="28" customFormat="1" outlineLevel="1" collapsed="1" x14ac:dyDescent="0.3">
      <c r="A91" s="29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SUM(OSRRefD22_18x_0)</f>
        <v>0</v>
      </c>
      <c r="E91" s="1"/>
      <c r="F91" s="5">
        <f t="shared" si="67"/>
        <v>0</v>
      </c>
      <c r="G91" s="1"/>
      <c r="H91" s="1">
        <f>SUM(OSRRefH22_18x_0)</f>
        <v>0</v>
      </c>
      <c r="I91" s="1"/>
      <c r="J91" s="5">
        <f t="shared" si="68"/>
        <v>0</v>
      </c>
      <c r="K91" s="1"/>
      <c r="L91" s="1">
        <f t="shared" si="69"/>
        <v>0</v>
      </c>
      <c r="M91" s="1"/>
      <c r="N91" s="5">
        <f t="shared" si="70"/>
        <v>0</v>
      </c>
      <c r="O91" s="14"/>
      <c r="P91" s="1">
        <f>SUM(OSRRefP22_18x_0)</f>
        <v>0</v>
      </c>
      <c r="Q91" s="1"/>
      <c r="R91" s="5">
        <f t="shared" si="71"/>
        <v>0</v>
      </c>
      <c r="S91" s="1"/>
      <c r="T91" s="1">
        <f>SUM(OSRRefT22_18x_0)</f>
        <v>179.69</v>
      </c>
      <c r="U91" s="1"/>
      <c r="V91" s="5">
        <f t="shared" si="72"/>
        <v>2.7568906924829512E-2</v>
      </c>
      <c r="W91" s="1"/>
      <c r="X91" s="1">
        <f t="shared" si="73"/>
        <v>-179.69</v>
      </c>
      <c r="Y91" s="1"/>
      <c r="Z91" s="5">
        <f t="shared" si="74"/>
        <v>-1</v>
      </c>
    </row>
    <row r="92" spans="1:26" s="24" customFormat="1" hidden="1" outlineLevel="2" x14ac:dyDescent="0.3">
      <c r="A92" s="27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8">
        <f t="shared" si="67"/>
        <v>0</v>
      </c>
      <c r="G92" s="2"/>
      <c r="H92" s="7"/>
      <c r="I92" s="2"/>
      <c r="J92" s="8">
        <f t="shared" si="68"/>
        <v>0</v>
      </c>
      <c r="K92" s="2"/>
      <c r="L92" s="7">
        <f t="shared" si="69"/>
        <v>0</v>
      </c>
      <c r="M92" s="2"/>
      <c r="N92" s="8">
        <f t="shared" si="70"/>
        <v>0</v>
      </c>
      <c r="O92" s="11"/>
      <c r="P92" s="7"/>
      <c r="Q92" s="2"/>
      <c r="R92" s="8">
        <f t="shared" si="71"/>
        <v>0</v>
      </c>
      <c r="S92" s="2"/>
      <c r="T92" s="7">
        <v>179.69</v>
      </c>
      <c r="U92" s="2"/>
      <c r="V92" s="8">
        <f t="shared" si="72"/>
        <v>2.7568906924829512E-2</v>
      </c>
      <c r="W92" s="2"/>
      <c r="X92" s="7">
        <f t="shared" si="73"/>
        <v>-179.69</v>
      </c>
      <c r="Y92" s="2"/>
      <c r="Z92" s="8">
        <f t="shared" si="74"/>
        <v>-1</v>
      </c>
    </row>
    <row r="93" spans="1:26" s="28" customFormat="1" outlineLevel="1" collapsed="1" x14ac:dyDescent="0.3">
      <c r="A93" s="29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SUM(OSRRefD22_19x_0)</f>
        <v>8250</v>
      </c>
      <c r="E93" s="1"/>
      <c r="F93" s="5">
        <f t="shared" si="67"/>
        <v>0.13996356875544905</v>
      </c>
      <c r="G93" s="1"/>
      <c r="H93" s="1">
        <f>SUM(OSRRefH22_19x_0)</f>
        <v>2350</v>
      </c>
      <c r="I93" s="1"/>
      <c r="J93" s="5">
        <f t="shared" si="68"/>
        <v>0.42396273457767908</v>
      </c>
      <c r="K93" s="1"/>
      <c r="L93" s="1">
        <f t="shared" si="69"/>
        <v>5900</v>
      </c>
      <c r="M93" s="1"/>
      <c r="N93" s="5">
        <f t="shared" si="70"/>
        <v>2.5106382978723403</v>
      </c>
      <c r="O93" s="14"/>
      <c r="P93" s="1">
        <f>SUM(OSRRefP22_19x_0)</f>
        <v>16500</v>
      </c>
      <c r="Q93" s="1"/>
      <c r="R93" s="5">
        <f t="shared" si="71"/>
        <v>0.20980029300836073</v>
      </c>
      <c r="S93" s="1"/>
      <c r="T93" s="1">
        <f>SUM(OSRRefT22_19x_0)</f>
        <v>4700</v>
      </c>
      <c r="U93" s="1"/>
      <c r="V93" s="5">
        <f t="shared" si="72"/>
        <v>0.72109668065389676</v>
      </c>
      <c r="W93" s="1"/>
      <c r="X93" s="1">
        <f t="shared" si="73"/>
        <v>11800</v>
      </c>
      <c r="Y93" s="1"/>
      <c r="Z93" s="5">
        <f t="shared" si="74"/>
        <v>2.5106382978723403</v>
      </c>
    </row>
    <row r="94" spans="1:26" s="24" customFormat="1" hidden="1" outlineLevel="2" x14ac:dyDescent="0.3">
      <c r="A94" s="27"/>
      <c r="B94" s="11" t="str">
        <f>CONCATENATE("          ", "6274", " - ", "UTILITIES")</f>
        <v xml:space="preserve">          6274 - UTILITIES</v>
      </c>
      <c r="C94" s="11"/>
      <c r="D94" s="7">
        <v>8250</v>
      </c>
      <c r="E94" s="2"/>
      <c r="F94" s="8">
        <f t="shared" si="67"/>
        <v>0.13996356875544905</v>
      </c>
      <c r="G94" s="2"/>
      <c r="H94" s="7">
        <v>2350</v>
      </c>
      <c r="I94" s="2"/>
      <c r="J94" s="8">
        <f t="shared" si="68"/>
        <v>0.42396273457767908</v>
      </c>
      <c r="K94" s="2"/>
      <c r="L94" s="7">
        <f t="shared" si="69"/>
        <v>5900</v>
      </c>
      <c r="M94" s="2"/>
      <c r="N94" s="8">
        <f t="shared" si="70"/>
        <v>2.5106382978723403</v>
      </c>
      <c r="O94" s="11"/>
      <c r="P94" s="7">
        <v>16500</v>
      </c>
      <c r="Q94" s="2"/>
      <c r="R94" s="8">
        <f t="shared" si="71"/>
        <v>0.20980029300836073</v>
      </c>
      <c r="S94" s="2"/>
      <c r="T94" s="7">
        <v>4700</v>
      </c>
      <c r="U94" s="2"/>
      <c r="V94" s="8">
        <f t="shared" si="72"/>
        <v>0.72109668065389676</v>
      </c>
      <c r="W94" s="2"/>
      <c r="X94" s="7">
        <f t="shared" si="73"/>
        <v>11800</v>
      </c>
      <c r="Y94" s="2"/>
      <c r="Z94" s="8">
        <f t="shared" si="74"/>
        <v>2.5106382978723403</v>
      </c>
    </row>
    <row r="95" spans="1:26" s="61" customFormat="1" x14ac:dyDescent="0.3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3">
      <c r="A96" s="10"/>
      <c r="B96" s="26" t="s">
        <v>292</v>
      </c>
      <c r="C96" s="10"/>
      <c r="D96" s="4">
        <f>SUM(OSRRefD25x_0)</f>
        <v>11546.83</v>
      </c>
      <c r="E96" s="4"/>
      <c r="F96" s="12">
        <f t="shared" ref="F96:F99" si="75">IF(D$12=0,0,D96/D$12)</f>
        <v>0.19589521631666446</v>
      </c>
      <c r="G96" s="4"/>
      <c r="H96" s="4">
        <f>SUM(OSRRefH25x_0)</f>
        <v>737.84999999999991</v>
      </c>
      <c r="I96" s="4"/>
      <c r="J96" s="12">
        <f t="shared" ref="J96:J99" si="76">IF(H$12=0,0,H96/H$12)</f>
        <v>0.1331152781736768</v>
      </c>
      <c r="K96" s="4"/>
      <c r="L96" s="4">
        <f t="shared" ref="L96:L99" si="77">+D96-H96</f>
        <v>10808.98</v>
      </c>
      <c r="M96" s="4"/>
      <c r="N96" s="12">
        <f t="shared" ref="N96:N99" si="78">IF(H96=0,0,L96/H96)</f>
        <v>14.649291861489464</v>
      </c>
      <c r="O96" s="10"/>
      <c r="P96" s="4">
        <f>SUM(OSRRefP25x_0)</f>
        <v>14202.250000000002</v>
      </c>
      <c r="Q96" s="4"/>
      <c r="R96" s="12">
        <f t="shared" ref="R96:R99" si="79">IF(P$12=0,0,P96/P$12)</f>
        <v>0.18058401281078737</v>
      </c>
      <c r="S96" s="4"/>
      <c r="T96" s="4">
        <f>SUM(OSRRefT25x_0)</f>
        <v>2814.39</v>
      </c>
      <c r="U96" s="4"/>
      <c r="V96" s="12">
        <f t="shared" ref="V96:V99" si="80">IF(T$12=0,0,T96/T$12)</f>
        <v>0.4317972951203235</v>
      </c>
      <c r="W96" s="4"/>
      <c r="X96" s="4">
        <f t="shared" ref="X96:X99" si="81">+P96-T96</f>
        <v>11387.860000000002</v>
      </c>
      <c r="Y96" s="4"/>
      <c r="Z96" s="12">
        <f t="shared" ref="Z96:Z99" si="82">IF(T96=0,0,X96/T96)</f>
        <v>4.0462977767828923</v>
      </c>
    </row>
    <row r="97" spans="1:26" s="24" customFormat="1" hidden="1" outlineLevel="1" x14ac:dyDescent="0.3">
      <c r="A97" s="44"/>
      <c r="B97" s="11" t="str">
        <f>CONCATENATE("          ", "9150", " - ", "MISC. INCOME")</f>
        <v xml:space="preserve">          9150 - MISC. INCOME</v>
      </c>
      <c r="C97" s="11"/>
      <c r="D97" s="2">
        <f>--1041.32</f>
        <v>1041.32</v>
      </c>
      <c r="E97" s="2"/>
      <c r="F97" s="19">
        <f t="shared" si="75"/>
        <v>1.7666286474718084E-2</v>
      </c>
      <c r="G97" s="2"/>
      <c r="H97" s="2">
        <f>--111.42</f>
        <v>111.42</v>
      </c>
      <c r="I97" s="2"/>
      <c r="J97" s="19">
        <f t="shared" si="76"/>
        <v>2.0101245909210641E-2</v>
      </c>
      <c r="K97" s="2"/>
      <c r="L97" s="2">
        <f t="shared" si="77"/>
        <v>929.9</v>
      </c>
      <c r="M97" s="2"/>
      <c r="N97" s="19">
        <f t="shared" si="78"/>
        <v>8.3458984024412128</v>
      </c>
      <c r="O97" s="11"/>
      <c r="P97" s="2">
        <f>--2458.62</f>
        <v>2458.62</v>
      </c>
      <c r="Q97" s="2"/>
      <c r="R97" s="19">
        <f t="shared" si="79"/>
        <v>3.1261769478558535E-2</v>
      </c>
      <c r="S97" s="2"/>
      <c r="T97" s="2">
        <f>--623.83</f>
        <v>623.83000000000004</v>
      </c>
      <c r="U97" s="2"/>
      <c r="V97" s="19">
        <f t="shared" si="80"/>
        <v>9.5711008998366057E-2</v>
      </c>
      <c r="W97" s="2"/>
      <c r="X97" s="2">
        <f t="shared" si="81"/>
        <v>1834.79</v>
      </c>
      <c r="Y97" s="2"/>
      <c r="Z97" s="19">
        <f t="shared" si="82"/>
        <v>2.9411698699966333</v>
      </c>
    </row>
    <row r="98" spans="1:26" s="24" customFormat="1" hidden="1" outlineLevel="1" x14ac:dyDescent="0.3">
      <c r="A98" s="44"/>
      <c r="B98" s="11" t="str">
        <f>CONCATENATE("          ", "9160", " - ", "MISC. INCOME")</f>
        <v xml:space="preserve">          9160 - MISC. INCOME</v>
      </c>
      <c r="C98" s="11"/>
      <c r="D98" s="2">
        <f>--10000</f>
        <v>10000</v>
      </c>
      <c r="E98" s="2"/>
      <c r="F98" s="19">
        <f t="shared" si="75"/>
        <v>0.16965281061266552</v>
      </c>
      <c r="G98" s="2"/>
      <c r="H98" s="2">
        <f>--626.43</f>
        <v>626.42999999999995</v>
      </c>
      <c r="I98" s="2"/>
      <c r="J98" s="19">
        <f t="shared" si="76"/>
        <v>0.11301403226446617</v>
      </c>
      <c r="K98" s="2"/>
      <c r="L98" s="2">
        <f t="shared" si="77"/>
        <v>9373.57</v>
      </c>
      <c r="M98" s="2"/>
      <c r="N98" s="19">
        <f t="shared" si="78"/>
        <v>14.963475567900645</v>
      </c>
      <c r="O98" s="11"/>
      <c r="P98" s="2">
        <f>--11238.12</f>
        <v>11238.12</v>
      </c>
      <c r="Q98" s="2"/>
      <c r="R98" s="19">
        <f t="shared" si="79"/>
        <v>0.1428945981129163</v>
      </c>
      <c r="S98" s="2"/>
      <c r="T98" s="2">
        <f>--1990.06</f>
        <v>1990.06</v>
      </c>
      <c r="U98" s="2"/>
      <c r="V98" s="19">
        <f t="shared" si="80"/>
        <v>0.30532460857491356</v>
      </c>
      <c r="W98" s="2"/>
      <c r="X98" s="2">
        <f t="shared" si="81"/>
        <v>9248.0600000000013</v>
      </c>
      <c r="Y98" s="2"/>
      <c r="Z98" s="19">
        <f t="shared" si="82"/>
        <v>4.6471262172999817</v>
      </c>
    </row>
    <row r="99" spans="1:26" s="24" customFormat="1" hidden="1" outlineLevel="1" x14ac:dyDescent="0.3">
      <c r="A99" s="44"/>
      <c r="B99" s="11" t="str">
        <f>CONCATENATE("          ", "9165", " - ", "OTHER INCOME")</f>
        <v xml:space="preserve">          9165 - OTHER INCOME</v>
      </c>
      <c r="C99" s="11"/>
      <c r="D99" s="2">
        <f>--505.51</f>
        <v>505.51</v>
      </c>
      <c r="E99" s="2"/>
      <c r="F99" s="19">
        <f t="shared" si="75"/>
        <v>8.5761192292808548E-3</v>
      </c>
      <c r="G99" s="2"/>
      <c r="H99" s="2">
        <f>0</f>
        <v>0</v>
      </c>
      <c r="I99" s="2"/>
      <c r="J99" s="19">
        <f t="shared" si="76"/>
        <v>0</v>
      </c>
      <c r="K99" s="2"/>
      <c r="L99" s="2">
        <f t="shared" si="77"/>
        <v>505.51</v>
      </c>
      <c r="M99" s="2"/>
      <c r="N99" s="19">
        <f t="shared" si="78"/>
        <v>0</v>
      </c>
      <c r="O99" s="11"/>
      <c r="P99" s="2">
        <f>--505.51</f>
        <v>505.51</v>
      </c>
      <c r="Q99" s="2"/>
      <c r="R99" s="19">
        <f t="shared" si="79"/>
        <v>6.4276452193125109E-3</v>
      </c>
      <c r="S99" s="2"/>
      <c r="T99" s="2">
        <f>--200.5</f>
        <v>200.5</v>
      </c>
      <c r="U99" s="2"/>
      <c r="V99" s="19">
        <f t="shared" si="80"/>
        <v>3.0761677547043894E-2</v>
      </c>
      <c r="W99" s="2"/>
      <c r="X99" s="2">
        <f t="shared" si="81"/>
        <v>305.01</v>
      </c>
      <c r="Y99" s="2"/>
      <c r="Z99" s="19">
        <f t="shared" si="82"/>
        <v>1.5212468827930175</v>
      </c>
    </row>
    <row r="100" spans="1:26" x14ac:dyDescent="0.3">
      <c r="A100" s="9"/>
      <c r="B100" s="10"/>
      <c r="C100" s="10"/>
      <c r="D100" s="3"/>
      <c r="E100" s="3"/>
      <c r="F100" s="6"/>
      <c r="G100" s="3"/>
      <c r="H100" s="3"/>
      <c r="I100" s="3"/>
      <c r="J100" s="6"/>
      <c r="K100" s="3"/>
      <c r="L100" s="3"/>
      <c r="M100" s="3"/>
      <c r="N100" s="6"/>
      <c r="O100" s="10"/>
      <c r="P100" s="3"/>
      <c r="Q100" s="3"/>
      <c r="R100" s="6"/>
      <c r="S100" s="3"/>
      <c r="T100" s="3"/>
      <c r="U100" s="3"/>
      <c r="V100" s="6"/>
      <c r="W100" s="3"/>
      <c r="X100" s="3"/>
      <c r="Y100" s="3"/>
      <c r="Z100" s="6"/>
    </row>
    <row r="101" spans="1:26" s="23" customFormat="1" x14ac:dyDescent="0.3">
      <c r="A101" s="10"/>
      <c r="B101" s="25" t="s">
        <v>276</v>
      </c>
      <c r="C101" s="25"/>
      <c r="D101" s="20">
        <f>+D29-D31+D96</f>
        <v>-176293.35</v>
      </c>
      <c r="E101" s="13"/>
      <c r="F101" s="22">
        <f>IF(D$12=0,0,D101/D$12)</f>
        <v>-2.9908662319822357</v>
      </c>
      <c r="G101" s="13"/>
      <c r="H101" s="20">
        <f>+H29-H31+H96</f>
        <v>-110737.59999999999</v>
      </c>
      <c r="I101" s="13"/>
      <c r="J101" s="22">
        <f>IF(H$12=0,0,H101/H$12)</f>
        <v>-19.978134347476253</v>
      </c>
      <c r="K101" s="15"/>
      <c r="L101" s="20">
        <f>+D101-H101</f>
        <v>-65555.750000000015</v>
      </c>
      <c r="M101" s="15"/>
      <c r="N101" s="22">
        <f>IF(H101=0,0,L101/H101)</f>
        <v>0.59199178959991927</v>
      </c>
      <c r="O101" s="26"/>
      <c r="P101" s="20">
        <f>+P29-P31+P96</f>
        <v>-316776.02999999997</v>
      </c>
      <c r="Q101" s="13"/>
      <c r="R101" s="22">
        <f>IF(P$12=0,0,P101/P$12)</f>
        <v>-4.0278608431530465</v>
      </c>
      <c r="S101" s="13"/>
      <c r="T101" s="20">
        <f>+T29-T31+T96</f>
        <v>-269859.51</v>
      </c>
      <c r="U101" s="13"/>
      <c r="V101" s="22">
        <f>IF(T$12=0,0,T101/T$12)</f>
        <v>-41.40314827742278</v>
      </c>
      <c r="W101" s="15"/>
      <c r="X101" s="20">
        <f>+P101-T101</f>
        <v>-46916.51999999996</v>
      </c>
      <c r="Y101" s="15"/>
      <c r="Z101" s="22">
        <f>IF(T101=0,0,X101/T101)</f>
        <v>0.17385535162351684</v>
      </c>
    </row>
    <row r="102" spans="1:26" x14ac:dyDescent="0.3">
      <c r="A102" s="9"/>
      <c r="B102" s="10"/>
      <c r="C102" s="9"/>
      <c r="D102" s="3"/>
      <c r="E102" s="3"/>
      <c r="F102" s="6"/>
      <c r="G102" s="3"/>
      <c r="H102" s="3"/>
      <c r="I102" s="3"/>
      <c r="J102" s="6"/>
      <c r="K102" s="3"/>
      <c r="L102" s="3"/>
      <c r="M102" s="3"/>
      <c r="N102" s="6"/>
      <c r="P102" s="3"/>
      <c r="Q102" s="3"/>
      <c r="R102" s="6"/>
      <c r="S102" s="3"/>
      <c r="T102" s="3"/>
      <c r="U102" s="3"/>
      <c r="V102" s="6"/>
      <c r="W102" s="3"/>
      <c r="X102" s="3"/>
      <c r="Y102" s="3"/>
      <c r="Z102" s="6"/>
    </row>
    <row r="103" spans="1:26" s="23" customFormat="1" x14ac:dyDescent="0.3">
      <c r="A103" s="51"/>
      <c r="B103" s="10" t="s">
        <v>127</v>
      </c>
      <c r="C103" s="10"/>
      <c r="D103" s="4">
        <v>2649.95</v>
      </c>
      <c r="E103" s="4"/>
      <c r="F103" s="12">
        <f>IF(D$12=0,0,D103/D$12)</f>
        <v>4.4957146548303295E-2</v>
      </c>
      <c r="G103" s="4"/>
      <c r="H103" s="4">
        <v>631.57000000000005</v>
      </c>
      <c r="I103" s="4"/>
      <c r="J103" s="12">
        <f>IF(H$12=0,0,H103/H$12)</f>
        <v>0.11394133799030842</v>
      </c>
      <c r="K103" s="4"/>
      <c r="L103" s="4">
        <f>+D103-H103</f>
        <v>2018.3799999999997</v>
      </c>
      <c r="M103" s="4"/>
      <c r="N103" s="12">
        <f>IF(H103=0,0,L103/H103)</f>
        <v>3.1958136073594368</v>
      </c>
      <c r="O103" s="10"/>
      <c r="P103" s="4">
        <v>11752.34</v>
      </c>
      <c r="Q103" s="4"/>
      <c r="R103" s="12">
        <f>IF(P$12=0,0,P103/P$12)</f>
        <v>0.14943299245659869</v>
      </c>
      <c r="S103" s="4"/>
      <c r="T103" s="4">
        <v>1100.45</v>
      </c>
      <c r="U103" s="4"/>
      <c r="V103" s="12">
        <f>IF(T$12=0,0,T103/T$12)</f>
        <v>0.16883634940969802</v>
      </c>
      <c r="W103" s="4"/>
      <c r="X103" s="4">
        <f>+P103-T103</f>
        <v>10651.89</v>
      </c>
      <c r="Y103" s="4"/>
      <c r="Z103" s="12">
        <f>IF(T103=0,0,X103/T103)</f>
        <v>9.6795765368712789</v>
      </c>
    </row>
    <row r="104" spans="1:26" x14ac:dyDescent="0.3">
      <c r="A104" s="9"/>
      <c r="B104" s="10"/>
      <c r="C104" s="10"/>
      <c r="D104" s="3"/>
      <c r="E104" s="3"/>
      <c r="F104" s="6"/>
      <c r="G104" s="3"/>
      <c r="H104" s="3"/>
      <c r="I104" s="3"/>
      <c r="J104" s="6"/>
      <c r="K104" s="3"/>
      <c r="L104" s="3"/>
      <c r="M104" s="3"/>
      <c r="N104" s="6"/>
      <c r="O104" s="10"/>
      <c r="P104" s="3"/>
      <c r="Q104" s="3"/>
      <c r="R104" s="6"/>
      <c r="S104" s="3"/>
      <c r="T104" s="3"/>
      <c r="U104" s="3"/>
      <c r="V104" s="6"/>
      <c r="W104" s="3"/>
      <c r="X104" s="3"/>
      <c r="Y104" s="3"/>
      <c r="Z104" s="6"/>
    </row>
    <row r="105" spans="1:26" s="23" customFormat="1" ht="15" thickBot="1" x14ac:dyDescent="0.35">
      <c r="A105" s="10"/>
      <c r="B105" s="25" t="s">
        <v>125</v>
      </c>
      <c r="C105" s="25"/>
      <c r="D105" s="33">
        <f>+D101-D103</f>
        <v>-178943.30000000002</v>
      </c>
      <c r="E105" s="13"/>
      <c r="F105" s="36">
        <f>IF(D$12=0,0,D105/D$12)</f>
        <v>-3.0358233785305391</v>
      </c>
      <c r="G105" s="13"/>
      <c r="H105" s="33">
        <f>+H101-H103</f>
        <v>-111369.17</v>
      </c>
      <c r="I105" s="13"/>
      <c r="J105" s="36">
        <f>IF(H$12=0,0,H105/H$12)</f>
        <v>-20.092075685466561</v>
      </c>
      <c r="K105" s="15"/>
      <c r="L105" s="33">
        <f>D105-H105</f>
        <v>-67574.130000000019</v>
      </c>
      <c r="M105" s="15"/>
      <c r="N105" s="36">
        <f>IF(H105=0,0,L105/H105)</f>
        <v>0.60675795644342168</v>
      </c>
      <c r="O105" s="26"/>
      <c r="P105" s="33">
        <f>+P101-P103</f>
        <v>-328528.37</v>
      </c>
      <c r="Q105" s="13"/>
      <c r="R105" s="36">
        <f>IF(P$12=0,0,P105/P$12)</f>
        <v>-4.1772938356096452</v>
      </c>
      <c r="S105" s="13"/>
      <c r="T105" s="33">
        <f>+T101-T103</f>
        <v>-270959.96000000002</v>
      </c>
      <c r="U105" s="13"/>
      <c r="V105" s="36">
        <f>IF(T$12=0,0,T105/T$12)</f>
        <v>-41.571984626832482</v>
      </c>
      <c r="W105" s="15"/>
      <c r="X105" s="33">
        <f>P105-T105</f>
        <v>-57568.409999999974</v>
      </c>
      <c r="Y105" s="15"/>
      <c r="Z105" s="36">
        <f>IF(T105=0,0,X105/T105)</f>
        <v>0.21246094810465713</v>
      </c>
    </row>
    <row r="106" spans="1:26" ht="15" thickTop="1" x14ac:dyDescent="0.3">
      <c r="A106" s="9"/>
      <c r="B106" s="9"/>
      <c r="C106" s="9"/>
      <c r="D106" s="3"/>
      <c r="E106" s="3"/>
      <c r="F106" s="6"/>
      <c r="G106" s="3"/>
      <c r="H106" s="3"/>
      <c r="I106" s="3"/>
      <c r="J106" s="6"/>
      <c r="K106" s="3"/>
      <c r="L106" s="3"/>
      <c r="M106" s="3"/>
      <c r="N106" s="6"/>
      <c r="P106" s="3"/>
      <c r="Q106" s="3"/>
      <c r="R106" s="6"/>
      <c r="S106" s="3"/>
      <c r="T106" s="3"/>
      <c r="U106" s="3"/>
      <c r="V106" s="6"/>
      <c r="W106" s="3"/>
      <c r="X106" s="3"/>
      <c r="Y106" s="3"/>
      <c r="Z106" s="6"/>
    </row>
    <row r="107" spans="1:26" x14ac:dyDescent="0.3">
      <c r="A107" s="9"/>
      <c r="B107" s="9"/>
      <c r="C107" s="9"/>
      <c r="D107" s="3"/>
      <c r="E107" s="3"/>
      <c r="F107" s="6"/>
      <c r="G107" s="3"/>
      <c r="H107" s="3"/>
      <c r="I107" s="3"/>
      <c r="J107" s="6"/>
      <c r="K107" s="3"/>
      <c r="L107" s="3"/>
      <c r="M107" s="3"/>
      <c r="N107" s="6"/>
      <c r="P107" s="3"/>
      <c r="Q107" s="3"/>
      <c r="R107" s="6"/>
      <c r="S107" s="3"/>
      <c r="T107" s="3"/>
      <c r="U107" s="3"/>
      <c r="V107" s="6"/>
      <c r="W107" s="3"/>
      <c r="X107" s="3"/>
      <c r="Y107" s="3"/>
      <c r="Z107" s="6"/>
    </row>
    <row r="108" spans="1:26" s="23" customFormat="1" ht="15" thickBot="1" x14ac:dyDescent="0.35">
      <c r="A108" s="10"/>
      <c r="B108" s="25" t="s">
        <v>293</v>
      </c>
      <c r="C108" s="25"/>
      <c r="D108" s="30">
        <f>SUM(D105:D107)</f>
        <v>-178943.30000000002</v>
      </c>
      <c r="E108" s="13"/>
      <c r="F108" s="31">
        <f>IF(D$12=0,0,D108/D$12)</f>
        <v>-3.0358233785305391</v>
      </c>
      <c r="G108" s="13"/>
      <c r="H108" s="30">
        <f>SUM(H105:H107)</f>
        <v>-111369.17</v>
      </c>
      <c r="I108" s="13"/>
      <c r="J108" s="31">
        <f>IF(H$12=0,0,H108/H$12)</f>
        <v>-20.092075685466561</v>
      </c>
      <c r="K108" s="15"/>
      <c r="L108" s="30">
        <f>+D108-H108</f>
        <v>-67574.130000000019</v>
      </c>
      <c r="M108" s="15"/>
      <c r="N108" s="31">
        <f>IF(H108=0,0,L108/H108)</f>
        <v>0.60675795644342168</v>
      </c>
      <c r="O108" s="26"/>
      <c r="P108" s="30">
        <f>SUM(P105:P107)</f>
        <v>-328528.37</v>
      </c>
      <c r="Q108" s="13"/>
      <c r="R108" s="31">
        <f>IF(P$12=0,0,P108/P$12)</f>
        <v>-4.1772938356096452</v>
      </c>
      <c r="S108" s="13"/>
      <c r="T108" s="30">
        <f>SUM(T105:T107)</f>
        <v>-270959.96000000002</v>
      </c>
      <c r="U108" s="13"/>
      <c r="V108" s="31">
        <f>IF(T$12=0,0,T108/T$12)</f>
        <v>-41.571984626832482</v>
      </c>
      <c r="W108" s="15"/>
      <c r="X108" s="30">
        <f>+P108-T108</f>
        <v>-57568.409999999974</v>
      </c>
      <c r="Y108" s="15"/>
      <c r="Z108" s="31">
        <f>IF(T108=0,0,X108/T108)</f>
        <v>0.21246094810465713</v>
      </c>
    </row>
    <row r="109" spans="1:26" ht="15" thickTop="1" x14ac:dyDescent="0.3">
      <c r="A109" s="9"/>
      <c r="C109" s="9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3">
      <c r="A110" s="9"/>
      <c r="B110" s="59">
        <v>44470.840475034725</v>
      </c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3">
      <c r="A111" s="9"/>
      <c r="B111" s="58" t="s">
        <v>56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3">
      <c r="A112" s="9"/>
      <c r="B112" s="52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4:24" x14ac:dyDescent="0.3"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0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105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52278.77</v>
      </c>
      <c r="E12" s="4"/>
      <c r="F12" s="12"/>
      <c r="G12" s="4"/>
      <c r="H12" s="4">
        <f>SUM(OSRRefH13x_0)</f>
        <v>4718.9399999999996</v>
      </c>
      <c r="I12" s="4"/>
      <c r="J12" s="12"/>
      <c r="K12" s="4"/>
      <c r="L12" s="4">
        <f t="shared" ref="L12:L15" si="0">+D12-H12</f>
        <v>47559.829999999994</v>
      </c>
      <c r="M12" s="4"/>
      <c r="N12" s="12">
        <f t="shared" ref="N12:N15" si="1">IF(H12=0,0,L12/H12)</f>
        <v>10.078498561117538</v>
      </c>
      <c r="O12" s="10"/>
      <c r="P12" s="4">
        <f>SUM(OSRRefP13x_0)</f>
        <v>71981.08</v>
      </c>
      <c r="Q12" s="4"/>
      <c r="R12" s="12"/>
      <c r="S12" s="4"/>
      <c r="T12" s="4">
        <f>SUM(OSRRefT13x_0)</f>
        <v>5693.8499999999995</v>
      </c>
      <c r="U12" s="4"/>
      <c r="V12" s="12"/>
      <c r="W12" s="4"/>
      <c r="X12" s="4">
        <f t="shared" ref="X12:X15" si="2">+P12-T12</f>
        <v>66287.23</v>
      </c>
      <c r="Y12" s="4"/>
      <c r="Z12" s="12">
        <f t="shared" ref="Z12:Z15" si="3">IF(T12=0,0,X12/T12)</f>
        <v>11.641899593420971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--20639.51</f>
        <v>20639.509999999998</v>
      </c>
      <c r="E13" s="2"/>
      <c r="F13" s="19"/>
      <c r="G13" s="2"/>
      <c r="H13" s="2">
        <f>--2510.72</f>
        <v>2510.7199999999998</v>
      </c>
      <c r="I13" s="2"/>
      <c r="J13" s="19"/>
      <c r="K13" s="2"/>
      <c r="L13" s="2">
        <f t="shared" si="0"/>
        <v>18128.789999999997</v>
      </c>
      <c r="M13" s="2"/>
      <c r="N13" s="19">
        <f t="shared" si="1"/>
        <v>7.2205542633188884</v>
      </c>
      <c r="O13" s="11"/>
      <c r="P13" s="2">
        <f>--31270.44</f>
        <v>31270.44</v>
      </c>
      <c r="Q13" s="2"/>
      <c r="R13" s="19"/>
      <c r="S13" s="2"/>
      <c r="T13" s="2">
        <f>--2510.72</f>
        <v>2510.7199999999998</v>
      </c>
      <c r="U13" s="2"/>
      <c r="V13" s="19"/>
      <c r="W13" s="2"/>
      <c r="X13" s="2">
        <f t="shared" si="2"/>
        <v>28759.719999999998</v>
      </c>
      <c r="Y13" s="2"/>
      <c r="Z13" s="19">
        <f t="shared" si="3"/>
        <v>11.454769946469538</v>
      </c>
    </row>
    <row r="14" spans="1:26" s="24" customFormat="1" hidden="1" outlineLevel="1" x14ac:dyDescent="0.3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--974.91</f>
        <v>974.91</v>
      </c>
      <c r="U14" s="2"/>
      <c r="V14" s="19"/>
      <c r="W14" s="2"/>
      <c r="X14" s="2">
        <f t="shared" si="2"/>
        <v>-974.91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--31639.26</f>
        <v>31639.26</v>
      </c>
      <c r="E15" s="2"/>
      <c r="F15" s="19"/>
      <c r="G15" s="2"/>
      <c r="H15" s="2">
        <f>--2208.22</f>
        <v>2208.2199999999998</v>
      </c>
      <c r="I15" s="2"/>
      <c r="J15" s="19"/>
      <c r="K15" s="2"/>
      <c r="L15" s="2">
        <f t="shared" si="0"/>
        <v>29431.039999999997</v>
      </c>
      <c r="M15" s="2"/>
      <c r="N15" s="19">
        <f t="shared" si="1"/>
        <v>13.327947396545634</v>
      </c>
      <c r="O15" s="11"/>
      <c r="P15" s="2">
        <f>--40710.64</f>
        <v>40710.639999999999</v>
      </c>
      <c r="Q15" s="2"/>
      <c r="R15" s="19"/>
      <c r="S15" s="2"/>
      <c r="T15" s="2">
        <f>--2208.22</f>
        <v>2208.2199999999998</v>
      </c>
      <c r="U15" s="2"/>
      <c r="V15" s="19"/>
      <c r="W15" s="2"/>
      <c r="X15" s="2">
        <f t="shared" si="2"/>
        <v>38502.42</v>
      </c>
      <c r="Y15" s="2"/>
      <c r="Z15" s="19">
        <f t="shared" si="3"/>
        <v>17.435952939471612</v>
      </c>
    </row>
    <row r="16" spans="1:26" x14ac:dyDescent="0.3">
      <c r="A16" s="9"/>
      <c r="B16" s="10"/>
      <c r="C16" s="9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14137.050000000003</v>
      </c>
      <c r="E17" s="4"/>
      <c r="F17" s="12">
        <f t="shared" ref="F17:F19" si="4">IF(D$12=0,0,D17/D$12)</f>
        <v>0.27041665287840561</v>
      </c>
      <c r="G17" s="4"/>
      <c r="H17" s="4">
        <f>SUM(OSRRefH16x_0)</f>
        <v>4245.9399999999996</v>
      </c>
      <c r="I17" s="4"/>
      <c r="J17" s="12">
        <f t="shared" ref="J17:J19" si="5">IF(H$12=0,0,H17/H$12)</f>
        <v>0.89976562533111248</v>
      </c>
      <c r="K17" s="4"/>
      <c r="L17" s="4">
        <f t="shared" ref="L17:L19" si="6">+D17-H17</f>
        <v>9891.1100000000042</v>
      </c>
      <c r="M17" s="4"/>
      <c r="N17" s="12">
        <f t="shared" ref="N17:N19" si="7">IF(H17=0,0,L17/H17)</f>
        <v>2.329545401018386</v>
      </c>
      <c r="O17" s="10"/>
      <c r="P17" s="4">
        <f>SUM(OSRRefP16x_0)</f>
        <v>19196.43</v>
      </c>
      <c r="Q17" s="4"/>
      <c r="R17" s="12">
        <f t="shared" ref="R17:R19" si="8">IF(P$12=0,0,P17/P$12)</f>
        <v>0.26668716279333404</v>
      </c>
      <c r="S17" s="4"/>
      <c r="T17" s="4">
        <f>SUM(OSRRefT16x_0)</f>
        <v>4245.9399999999996</v>
      </c>
      <c r="U17" s="4"/>
      <c r="V17" s="12">
        <f t="shared" ref="V17:V19" si="9">IF(T$12=0,0,T17/T$12)</f>
        <v>0.74570633227078342</v>
      </c>
      <c r="W17" s="4"/>
      <c r="X17" s="4">
        <f t="shared" ref="X17:X19" si="10">+P17-T17</f>
        <v>14950.490000000002</v>
      </c>
      <c r="Y17" s="4"/>
      <c r="Z17" s="12">
        <f t="shared" ref="Z17:Z19" si="11">IF(T17=0,0,X17/T17)</f>
        <v>3.5211260639575697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37147.050000000003</v>
      </c>
      <c r="E18" s="2"/>
      <c r="F18" s="19">
        <f t="shared" si="4"/>
        <v>0.71055707699320403</v>
      </c>
      <c r="G18" s="2"/>
      <c r="H18" s="2">
        <v>4200.9399999999996</v>
      </c>
      <c r="I18" s="2"/>
      <c r="J18" s="19">
        <f t="shared" si="5"/>
        <v>0.8902295854577511</v>
      </c>
      <c r="K18" s="2"/>
      <c r="L18" s="2">
        <f t="shared" si="6"/>
        <v>32946.11</v>
      </c>
      <c r="M18" s="2"/>
      <c r="N18" s="19">
        <f t="shared" si="7"/>
        <v>7.842556665889064</v>
      </c>
      <c r="O18" s="11"/>
      <c r="P18" s="2">
        <v>45371.43</v>
      </c>
      <c r="Q18" s="2"/>
      <c r="R18" s="19">
        <f t="shared" si="8"/>
        <v>0.6303243852412328</v>
      </c>
      <c r="S18" s="2"/>
      <c r="T18" s="2">
        <v>4200.9399999999996</v>
      </c>
      <c r="U18" s="2"/>
      <c r="V18" s="19">
        <f t="shared" si="9"/>
        <v>0.73780306822273156</v>
      </c>
      <c r="W18" s="2"/>
      <c r="X18" s="2">
        <f t="shared" si="10"/>
        <v>41170.49</v>
      </c>
      <c r="Y18" s="2"/>
      <c r="Z18" s="19">
        <f t="shared" si="11"/>
        <v>9.8003042176274846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-23010</v>
      </c>
      <c r="E19" s="2"/>
      <c r="F19" s="19">
        <f t="shared" si="4"/>
        <v>-0.44014042411479842</v>
      </c>
      <c r="G19" s="2"/>
      <c r="H19" s="2">
        <v>45</v>
      </c>
      <c r="I19" s="2"/>
      <c r="J19" s="19">
        <f t="shared" si="5"/>
        <v>9.5360398733613915E-3</v>
      </c>
      <c r="K19" s="2"/>
      <c r="L19" s="2">
        <f t="shared" si="6"/>
        <v>-23055</v>
      </c>
      <c r="M19" s="2"/>
      <c r="N19" s="19">
        <f t="shared" si="7"/>
        <v>-512.33333333333337</v>
      </c>
      <c r="O19" s="11"/>
      <c r="P19" s="2">
        <v>-26175</v>
      </c>
      <c r="Q19" s="2"/>
      <c r="R19" s="19">
        <f t="shared" si="8"/>
        <v>-0.36363722244789881</v>
      </c>
      <c r="S19" s="2"/>
      <c r="T19" s="2">
        <v>45</v>
      </c>
      <c r="U19" s="2"/>
      <c r="V19" s="19">
        <f t="shared" si="9"/>
        <v>7.9032640480518456E-3</v>
      </c>
      <c r="W19" s="2"/>
      <c r="X19" s="2">
        <f t="shared" si="10"/>
        <v>-26220</v>
      </c>
      <c r="Y19" s="2"/>
      <c r="Z19" s="19">
        <f t="shared" si="11"/>
        <v>-582.66666666666663</v>
      </c>
    </row>
    <row r="20" spans="1:26" x14ac:dyDescent="0.3">
      <c r="A20" s="9"/>
      <c r="B20" s="10"/>
      <c r="C20" s="10"/>
      <c r="D20" s="3"/>
      <c r="E20" s="3"/>
      <c r="F20" s="6"/>
      <c r="G20" s="3"/>
      <c r="H20" s="3"/>
      <c r="I20" s="3"/>
      <c r="J20" s="6"/>
      <c r="K20" s="3"/>
      <c r="L20" s="3"/>
      <c r="M20" s="3"/>
      <c r="N20" s="6"/>
      <c r="O20" s="10"/>
      <c r="P20" s="3"/>
      <c r="Q20" s="3"/>
      <c r="R20" s="6"/>
      <c r="S20" s="3"/>
      <c r="T20" s="3"/>
      <c r="U20" s="3"/>
      <c r="V20" s="6"/>
      <c r="W20" s="3"/>
      <c r="X20" s="3"/>
      <c r="Y20" s="3"/>
      <c r="Z20" s="6"/>
    </row>
    <row r="21" spans="1:26" s="23" customFormat="1" x14ac:dyDescent="0.3">
      <c r="A21" s="10"/>
      <c r="B21" s="25" t="s">
        <v>107</v>
      </c>
      <c r="C21" s="25"/>
      <c r="D21" s="20">
        <f>D12-D17</f>
        <v>38141.719999999994</v>
      </c>
      <c r="E21" s="13"/>
      <c r="F21" s="22">
        <f>IF(D$12=0,0,D21/D$12)</f>
        <v>0.72958334712159445</v>
      </c>
      <c r="G21" s="13"/>
      <c r="H21" s="20">
        <f>H12-H17</f>
        <v>473</v>
      </c>
      <c r="I21" s="13"/>
      <c r="J21" s="22">
        <f>IF(H$12=0,0,H21/H$12)</f>
        <v>0.10023437466888752</v>
      </c>
      <c r="K21" s="15"/>
      <c r="L21" s="20">
        <f>+D21-H21</f>
        <v>37668.719999999994</v>
      </c>
      <c r="M21" s="15"/>
      <c r="N21" s="22">
        <f>IF(H21=0,0,L21/H21)</f>
        <v>79.637885835095119</v>
      </c>
      <c r="O21" s="26"/>
      <c r="P21" s="20">
        <f>P12-P17</f>
        <v>52784.65</v>
      </c>
      <c r="Q21" s="13"/>
      <c r="R21" s="22">
        <f>IF(P$12=0,0,P21/P$12)</f>
        <v>0.73331283720666596</v>
      </c>
      <c r="S21" s="13"/>
      <c r="T21" s="20">
        <f>T12-T17</f>
        <v>1447.9099999999999</v>
      </c>
      <c r="U21" s="13"/>
      <c r="V21" s="22">
        <f>IF(T$12=0,0,T21/T$12)</f>
        <v>0.25429366772921663</v>
      </c>
      <c r="W21" s="15"/>
      <c r="X21" s="20">
        <f>+P21-T21</f>
        <v>51336.740000000005</v>
      </c>
      <c r="Y21" s="15"/>
      <c r="Z21" s="22">
        <f>IF(T21=0,0,X21/T21)</f>
        <v>35.455753465339704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1">
        <f>SUM(OSRRefD22x_0)</f>
        <v>201319.06</v>
      </c>
      <c r="E23" s="21"/>
      <c r="F23" s="32">
        <f t="shared" ref="F23:F32" si="12">IF(D$12=0,0,D23/D$12)</f>
        <v>3.8508759865620408</v>
      </c>
      <c r="G23" s="21"/>
      <c r="H23" s="21">
        <f>SUM(OSRRefH22x_0)</f>
        <v>84836.56</v>
      </c>
      <c r="I23" s="21"/>
      <c r="J23" s="32">
        <f t="shared" ref="J23:J32" si="13">IF(H$12=0,0,H23/H$12)</f>
        <v>17.977884863973689</v>
      </c>
      <c r="K23" s="4"/>
      <c r="L23" s="21">
        <f t="shared" ref="L23:L32" si="14">+D23-H23</f>
        <v>116482.5</v>
      </c>
      <c r="M23" s="4"/>
      <c r="N23" s="32">
        <f t="shared" ref="N23:N32" si="15">IF(H23=0,0,L23/H23)</f>
        <v>1.3730224327813387</v>
      </c>
      <c r="O23" s="10"/>
      <c r="P23" s="21">
        <f>SUM(OSRRefP22x_0)</f>
        <v>347170.18999999994</v>
      </c>
      <c r="Q23" s="21"/>
      <c r="R23" s="32">
        <f t="shared" ref="R23:R32" si="16">IF(P$12=0,0,P23/P$12)</f>
        <v>4.82307559153044</v>
      </c>
      <c r="S23" s="21"/>
      <c r="T23" s="21">
        <f>SUM(OSRRefT22x_0)</f>
        <v>211961.71000000002</v>
      </c>
      <c r="U23" s="21"/>
      <c r="V23" s="32">
        <f t="shared" ref="V23:V32" si="17">IF(T$12=0,0,T23/T$12)</f>
        <v>37.226430271257591</v>
      </c>
      <c r="W23" s="4"/>
      <c r="X23" s="21">
        <f t="shared" ref="X23:X32" si="18">+P23-T23</f>
        <v>135208.47999999992</v>
      </c>
      <c r="Y23" s="4"/>
      <c r="Z23" s="32">
        <f t="shared" ref="Z23:Z32" si="19">IF(T23=0,0,X23/T23)</f>
        <v>0.6378910606071253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27914.86</v>
      </c>
      <c r="E24" s="1"/>
      <c r="F24" s="5">
        <f t="shared" si="12"/>
        <v>0.53396168272512923</v>
      </c>
      <c r="G24" s="1"/>
      <c r="H24" s="1">
        <f>SUM(OSRRefH22_0x_0)</f>
        <v>21317.179999999997</v>
      </c>
      <c r="I24" s="1"/>
      <c r="J24" s="5">
        <f t="shared" si="13"/>
        <v>4.517366188169377</v>
      </c>
      <c r="K24" s="1"/>
      <c r="L24" s="1">
        <f t="shared" si="14"/>
        <v>6597.6800000000039</v>
      </c>
      <c r="M24" s="1"/>
      <c r="N24" s="5">
        <f t="shared" si="15"/>
        <v>0.30950059998555179</v>
      </c>
      <c r="O24" s="14"/>
      <c r="P24" s="1">
        <f>SUM(OSRRefP22_0x_0)</f>
        <v>53249.920000000006</v>
      </c>
      <c r="Q24" s="1"/>
      <c r="R24" s="5">
        <f t="shared" si="16"/>
        <v>0.73977661907823566</v>
      </c>
      <c r="S24" s="1"/>
      <c r="T24" s="1">
        <f>SUM(OSRRefT22_0x_0)</f>
        <v>47290.65</v>
      </c>
      <c r="U24" s="1"/>
      <c r="V24" s="5">
        <f t="shared" si="17"/>
        <v>8.3055665323111789</v>
      </c>
      <c r="W24" s="1"/>
      <c r="X24" s="1">
        <f t="shared" si="18"/>
        <v>5959.2700000000041</v>
      </c>
      <c r="Y24" s="1"/>
      <c r="Z24" s="5">
        <f t="shared" si="19"/>
        <v>0.12601370461179967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4256.6000000000004</v>
      </c>
      <c r="E25" s="2"/>
      <c r="F25" s="8">
        <f t="shared" si="12"/>
        <v>8.1421196405347729E-2</v>
      </c>
      <c r="G25" s="2"/>
      <c r="H25" s="7">
        <v>2439.41</v>
      </c>
      <c r="I25" s="2"/>
      <c r="J25" s="8">
        <f t="shared" si="13"/>
        <v>0.51694024505503355</v>
      </c>
      <c r="K25" s="2"/>
      <c r="L25" s="7">
        <f t="shared" si="14"/>
        <v>1817.1900000000005</v>
      </c>
      <c r="M25" s="2"/>
      <c r="N25" s="8">
        <f t="shared" si="15"/>
        <v>0.7449301265469932</v>
      </c>
      <c r="O25" s="11"/>
      <c r="P25" s="7">
        <v>7455.16</v>
      </c>
      <c r="Q25" s="2"/>
      <c r="R25" s="8">
        <f t="shared" si="16"/>
        <v>0.10357110507372215</v>
      </c>
      <c r="S25" s="2"/>
      <c r="T25" s="7">
        <v>5054.0600000000004</v>
      </c>
      <c r="U25" s="2"/>
      <c r="V25" s="8">
        <f t="shared" si="17"/>
        <v>0.8876349043265982</v>
      </c>
      <c r="W25" s="2"/>
      <c r="X25" s="7">
        <f t="shared" si="18"/>
        <v>2401.0999999999995</v>
      </c>
      <c r="Y25" s="2"/>
      <c r="Z25" s="8">
        <f t="shared" si="19"/>
        <v>0.47508339829760615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1592.23</v>
      </c>
      <c r="E26" s="2"/>
      <c r="F26" s="8">
        <f t="shared" si="12"/>
        <v>3.0456531398883335E-2</v>
      </c>
      <c r="G26" s="2"/>
      <c r="H26" s="7">
        <v>613.87</v>
      </c>
      <c r="I26" s="2"/>
      <c r="J26" s="8">
        <f t="shared" si="13"/>
        <v>0.13008641771245238</v>
      </c>
      <c r="K26" s="2"/>
      <c r="L26" s="7">
        <f t="shared" si="14"/>
        <v>978.36</v>
      </c>
      <c r="M26" s="2"/>
      <c r="N26" s="8">
        <f t="shared" si="15"/>
        <v>1.5937576359815597</v>
      </c>
      <c r="O26" s="11"/>
      <c r="P26" s="7">
        <v>2698.85</v>
      </c>
      <c r="Q26" s="2"/>
      <c r="R26" s="8">
        <f t="shared" si="16"/>
        <v>3.7493880336332823E-2</v>
      </c>
      <c r="S26" s="2"/>
      <c r="T26" s="7">
        <v>1182.77</v>
      </c>
      <c r="U26" s="2"/>
      <c r="V26" s="8">
        <f t="shared" si="17"/>
        <v>0.20772763595809515</v>
      </c>
      <c r="W26" s="2"/>
      <c r="X26" s="7">
        <f t="shared" si="18"/>
        <v>1516.08</v>
      </c>
      <c r="Y26" s="2"/>
      <c r="Z26" s="8">
        <f t="shared" si="19"/>
        <v>1.2818045773903632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12571.09</v>
      </c>
      <c r="E27" s="2"/>
      <c r="F27" s="8">
        <f t="shared" si="12"/>
        <v>0.2404626199124425</v>
      </c>
      <c r="G27" s="2"/>
      <c r="H27" s="7">
        <v>10662.18</v>
      </c>
      <c r="I27" s="2"/>
      <c r="J27" s="8">
        <f t="shared" si="13"/>
        <v>2.2594438581545857</v>
      </c>
      <c r="K27" s="2"/>
      <c r="L27" s="7">
        <f t="shared" si="14"/>
        <v>1908.9099999999999</v>
      </c>
      <c r="M27" s="2"/>
      <c r="N27" s="8">
        <f t="shared" si="15"/>
        <v>0.17903561935739218</v>
      </c>
      <c r="O27" s="11"/>
      <c r="P27" s="7">
        <v>24503.68</v>
      </c>
      <c r="Q27" s="2"/>
      <c r="R27" s="8">
        <f t="shared" si="16"/>
        <v>0.34041834326464676</v>
      </c>
      <c r="S27" s="2"/>
      <c r="T27" s="7">
        <v>24280.7</v>
      </c>
      <c r="U27" s="2"/>
      <c r="V27" s="8">
        <f t="shared" si="17"/>
        <v>4.2643729638118328</v>
      </c>
      <c r="W27" s="2"/>
      <c r="X27" s="7">
        <f t="shared" si="18"/>
        <v>222.97999999999956</v>
      </c>
      <c r="Y27" s="2"/>
      <c r="Z27" s="8">
        <f t="shared" si="19"/>
        <v>9.1834255190336167E-3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143.97</v>
      </c>
      <c r="E28" s="2"/>
      <c r="F28" s="8">
        <f t="shared" si="12"/>
        <v>2.7538903459281847E-3</v>
      </c>
      <c r="G28" s="2"/>
      <c r="H28" s="7">
        <v>84.68</v>
      </c>
      <c r="I28" s="2"/>
      <c r="J28" s="8">
        <f t="shared" si="13"/>
        <v>1.7944707921694281E-2</v>
      </c>
      <c r="K28" s="2"/>
      <c r="L28" s="7">
        <f t="shared" si="14"/>
        <v>59.289999999999992</v>
      </c>
      <c r="M28" s="2"/>
      <c r="N28" s="8">
        <f t="shared" si="15"/>
        <v>0.70016532829475653</v>
      </c>
      <c r="O28" s="11"/>
      <c r="P28" s="7">
        <v>252.67</v>
      </c>
      <c r="Q28" s="2"/>
      <c r="R28" s="8">
        <f t="shared" si="16"/>
        <v>3.5102279654598122E-3</v>
      </c>
      <c r="S28" s="2"/>
      <c r="T28" s="7">
        <v>166.63</v>
      </c>
      <c r="U28" s="2"/>
      <c r="V28" s="8">
        <f t="shared" si="17"/>
        <v>2.9264908629486202E-2</v>
      </c>
      <c r="W28" s="2"/>
      <c r="X28" s="7">
        <f t="shared" si="18"/>
        <v>86.039999999999992</v>
      </c>
      <c r="Y28" s="2"/>
      <c r="Z28" s="8">
        <f t="shared" si="19"/>
        <v>0.51635359779151413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3152.51</v>
      </c>
      <c r="E29" s="2"/>
      <c r="F29" s="8">
        <f t="shared" si="12"/>
        <v>6.0301916055025787E-2</v>
      </c>
      <c r="G29" s="2"/>
      <c r="H29" s="7">
        <v>2748.35</v>
      </c>
      <c r="I29" s="2"/>
      <c r="J29" s="8">
        <f t="shared" si="13"/>
        <v>0.58240833746561727</v>
      </c>
      <c r="K29" s="2"/>
      <c r="L29" s="7">
        <f t="shared" si="14"/>
        <v>404.16000000000031</v>
      </c>
      <c r="M29" s="2"/>
      <c r="N29" s="8">
        <f t="shared" si="15"/>
        <v>0.14705550603089138</v>
      </c>
      <c r="O29" s="11"/>
      <c r="P29" s="7">
        <v>6141.54</v>
      </c>
      <c r="Q29" s="2"/>
      <c r="R29" s="8">
        <f t="shared" si="16"/>
        <v>8.5321587283769568E-2</v>
      </c>
      <c r="S29" s="2"/>
      <c r="T29" s="7">
        <v>7397.15</v>
      </c>
      <c r="U29" s="2"/>
      <c r="V29" s="8">
        <f t="shared" si="17"/>
        <v>1.2991473256232602</v>
      </c>
      <c r="W29" s="2"/>
      <c r="X29" s="7">
        <f t="shared" si="18"/>
        <v>-1255.6099999999997</v>
      </c>
      <c r="Y29" s="2"/>
      <c r="Z29" s="8">
        <f t="shared" si="19"/>
        <v>-0.16974240078949321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>
        <v>2973.5</v>
      </c>
      <c r="E30" s="2"/>
      <c r="F30" s="8">
        <f t="shared" si="12"/>
        <v>5.6877772755556416E-2</v>
      </c>
      <c r="G30" s="2"/>
      <c r="H30" s="7">
        <v>2561.8200000000002</v>
      </c>
      <c r="I30" s="2"/>
      <c r="J30" s="8">
        <f t="shared" si="13"/>
        <v>0.54288039263054844</v>
      </c>
      <c r="K30" s="2"/>
      <c r="L30" s="7">
        <f t="shared" si="14"/>
        <v>411.67999999999984</v>
      </c>
      <c r="M30" s="2"/>
      <c r="N30" s="8">
        <f t="shared" si="15"/>
        <v>0.16069825358534159</v>
      </c>
      <c r="O30" s="11"/>
      <c r="P30" s="7">
        <v>5928.44</v>
      </c>
      <c r="Q30" s="2"/>
      <c r="R30" s="8">
        <f t="shared" si="16"/>
        <v>8.2361087107890016E-2</v>
      </c>
      <c r="S30" s="2"/>
      <c r="T30" s="7">
        <v>5122.1499999999996</v>
      </c>
      <c r="U30" s="2"/>
      <c r="V30" s="8">
        <f t="shared" si="17"/>
        <v>0.89959342097175021</v>
      </c>
      <c r="W30" s="2"/>
      <c r="X30" s="7">
        <f t="shared" si="18"/>
        <v>806.29</v>
      </c>
      <c r="Y30" s="2"/>
      <c r="Z30" s="8">
        <f t="shared" si="19"/>
        <v>0.15741241470866726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>
        <v>1911.66</v>
      </c>
      <c r="E31" s="2"/>
      <c r="F31" s="8">
        <f t="shared" si="12"/>
        <v>3.6566659850643009E-2</v>
      </c>
      <c r="G31" s="2"/>
      <c r="H31" s="7">
        <v>1497.32</v>
      </c>
      <c r="I31" s="2"/>
      <c r="J31" s="8">
        <f t="shared" si="13"/>
        <v>0.31730007162625506</v>
      </c>
      <c r="K31" s="2"/>
      <c r="L31" s="7">
        <f t="shared" si="14"/>
        <v>414.34000000000015</v>
      </c>
      <c r="M31" s="2"/>
      <c r="N31" s="8">
        <f t="shared" si="15"/>
        <v>0.27672107498731074</v>
      </c>
      <c r="O31" s="11"/>
      <c r="P31" s="7">
        <v>3810.44</v>
      </c>
      <c r="Q31" s="2"/>
      <c r="R31" s="8">
        <f t="shared" si="16"/>
        <v>5.2936688363108747E-2</v>
      </c>
      <c r="S31" s="2"/>
      <c r="T31" s="7">
        <v>3073.89</v>
      </c>
      <c r="U31" s="2"/>
      <c r="V31" s="8">
        <f t="shared" si="17"/>
        <v>0.5398614294370242</v>
      </c>
      <c r="W31" s="2"/>
      <c r="X31" s="7">
        <f t="shared" si="18"/>
        <v>736.55000000000018</v>
      </c>
      <c r="Y31" s="2"/>
      <c r="Z31" s="8">
        <f t="shared" si="19"/>
        <v>0.23961495043739373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>
        <v>1313.3</v>
      </c>
      <c r="E32" s="2"/>
      <c r="F32" s="8">
        <f t="shared" si="12"/>
        <v>2.5121096001302249E-2</v>
      </c>
      <c r="G32" s="2"/>
      <c r="H32" s="7">
        <v>709.55</v>
      </c>
      <c r="I32" s="2"/>
      <c r="J32" s="8">
        <f t="shared" si="13"/>
        <v>0.15036215760319055</v>
      </c>
      <c r="K32" s="2"/>
      <c r="L32" s="7">
        <f t="shared" si="14"/>
        <v>603.75</v>
      </c>
      <c r="M32" s="2"/>
      <c r="N32" s="8">
        <f t="shared" si="15"/>
        <v>0.85089141004862245</v>
      </c>
      <c r="O32" s="11"/>
      <c r="P32" s="7">
        <v>2459.14</v>
      </c>
      <c r="Q32" s="2"/>
      <c r="R32" s="8">
        <f t="shared" si="16"/>
        <v>3.4163699683305668E-2</v>
      </c>
      <c r="S32" s="2"/>
      <c r="T32" s="7">
        <v>1013.3</v>
      </c>
      <c r="U32" s="2"/>
      <c r="V32" s="8">
        <f t="shared" si="17"/>
        <v>0.17796394355313189</v>
      </c>
      <c r="W32" s="2"/>
      <c r="X32" s="7">
        <f t="shared" si="18"/>
        <v>1445.84</v>
      </c>
      <c r="Y32" s="2"/>
      <c r="Z32" s="8">
        <f t="shared" si="19"/>
        <v>1.4268627257475575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58909.710000000006</v>
      </c>
      <c r="E33" s="1"/>
      <c r="F33" s="5">
        <f t="shared" ref="F33:F38" si="20">IF(D$12=0,0,D33/D$12)</f>
        <v>1.1268381027327157</v>
      </c>
      <c r="G33" s="1"/>
      <c r="H33" s="1">
        <f>SUM(OSRRefH22_1x_0)</f>
        <v>30741.25</v>
      </c>
      <c r="I33" s="1"/>
      <c r="J33" s="5">
        <f t="shared" ref="J33:J38" si="21">IF(H$12=0,0,H33/H$12)</f>
        <v>6.5144396834882414</v>
      </c>
      <c r="K33" s="1"/>
      <c r="L33" s="1">
        <f t="shared" ref="L33:L38" si="22">+D33-H33</f>
        <v>28168.460000000006</v>
      </c>
      <c r="M33" s="1"/>
      <c r="N33" s="5">
        <f t="shared" ref="N33:N38" si="23">IF(H33=0,0,L33/H33)</f>
        <v>0.91630821778554894</v>
      </c>
      <c r="O33" s="14"/>
      <c r="P33" s="1">
        <f>SUM(OSRRefP22_1x_0)</f>
        <v>111512.65999999999</v>
      </c>
      <c r="Q33" s="1"/>
      <c r="R33" s="5">
        <f t="shared" ref="R33:R38" si="24">IF(P$12=0,0,P33/P$12)</f>
        <v>1.549194038211152</v>
      </c>
      <c r="S33" s="1"/>
      <c r="T33" s="1">
        <f>SUM(OSRRefT22_1x_0)</f>
        <v>67169.27</v>
      </c>
      <c r="U33" s="1"/>
      <c r="V33" s="5">
        <f t="shared" ref="V33:V38" si="25">IF(T$12=0,0,T33/T$12)</f>
        <v>11.796810593886388</v>
      </c>
      <c r="W33" s="1"/>
      <c r="X33" s="1">
        <f t="shared" ref="X33:X38" si="26">+P33-T33</f>
        <v>44343.389999999985</v>
      </c>
      <c r="Y33" s="1"/>
      <c r="Z33" s="5">
        <f t="shared" ref="Z33:Z38" si="27">IF(T33=0,0,X33/T33)</f>
        <v>0.66017376696218344</v>
      </c>
    </row>
    <row r="34" spans="1:26" s="24" customFormat="1" hidden="1" outlineLevel="2" x14ac:dyDescent="0.3">
      <c r="A34" s="27"/>
      <c r="B34" s="11" t="str">
        <f>CONCATENATE("          ", "6001", " - ", "ADMINISTRATIVE SALARIES")</f>
        <v xml:space="preserve">          6001 - ADMINISTRATIVE SALARIES</v>
      </c>
      <c r="C34" s="11"/>
      <c r="D34" s="7">
        <v>8855.42</v>
      </c>
      <c r="E34" s="2"/>
      <c r="F34" s="8">
        <f t="shared" si="20"/>
        <v>0.16938845347738671</v>
      </c>
      <c r="G34" s="2"/>
      <c r="H34" s="7">
        <v>11069.28</v>
      </c>
      <c r="I34" s="2"/>
      <c r="J34" s="8">
        <f t="shared" si="21"/>
        <v>2.3457132322089285</v>
      </c>
      <c r="K34" s="2"/>
      <c r="L34" s="7">
        <f t="shared" si="22"/>
        <v>-2213.8600000000006</v>
      </c>
      <c r="M34" s="2"/>
      <c r="N34" s="8">
        <f t="shared" si="23"/>
        <v>-0.20000036136044985</v>
      </c>
      <c r="O34" s="11"/>
      <c r="P34" s="7">
        <v>22691.7</v>
      </c>
      <c r="Q34" s="2"/>
      <c r="R34" s="8">
        <f t="shared" si="24"/>
        <v>0.31524533946976069</v>
      </c>
      <c r="S34" s="2"/>
      <c r="T34" s="7">
        <v>22276.61</v>
      </c>
      <c r="U34" s="2"/>
      <c r="V34" s="8">
        <f t="shared" si="25"/>
        <v>3.9123984650104942</v>
      </c>
      <c r="W34" s="2"/>
      <c r="X34" s="7">
        <f t="shared" si="26"/>
        <v>415.09000000000015</v>
      </c>
      <c r="Y34" s="2"/>
      <c r="Z34" s="8">
        <f t="shared" si="27"/>
        <v>1.8633445573630822E-2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20808.45</v>
      </c>
      <c r="E35" s="2"/>
      <c r="F35" s="8">
        <f t="shared" si="20"/>
        <v>0.39802868353635718</v>
      </c>
      <c r="G35" s="2"/>
      <c r="H35" s="7">
        <v>14643.4</v>
      </c>
      <c r="I35" s="2"/>
      <c r="J35" s="8">
        <f t="shared" si="21"/>
        <v>3.1031121395906709</v>
      </c>
      <c r="K35" s="2"/>
      <c r="L35" s="7">
        <f t="shared" si="22"/>
        <v>6165.0500000000011</v>
      </c>
      <c r="M35" s="2"/>
      <c r="N35" s="8">
        <f t="shared" si="23"/>
        <v>0.42101219662100342</v>
      </c>
      <c r="O35" s="11"/>
      <c r="P35" s="7">
        <v>44532.47</v>
      </c>
      <c r="Q35" s="2"/>
      <c r="R35" s="8">
        <f t="shared" si="24"/>
        <v>0.61866910026912625</v>
      </c>
      <c r="S35" s="2"/>
      <c r="T35" s="7">
        <v>35742.36</v>
      </c>
      <c r="U35" s="2"/>
      <c r="V35" s="8">
        <f t="shared" si="25"/>
        <v>6.2773624173450306</v>
      </c>
      <c r="W35" s="2"/>
      <c r="X35" s="7">
        <f t="shared" si="26"/>
        <v>8790.11</v>
      </c>
      <c r="Y35" s="2"/>
      <c r="Z35" s="8">
        <f t="shared" si="27"/>
        <v>0.24592975953462504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8001.1</v>
      </c>
      <c r="E36" s="2"/>
      <c r="F36" s="8">
        <f t="shared" si="20"/>
        <v>0.15304682952563728</v>
      </c>
      <c r="G36" s="2"/>
      <c r="H36" s="7">
        <v>4818.47</v>
      </c>
      <c r="I36" s="2"/>
      <c r="J36" s="8">
        <f t="shared" si="21"/>
        <v>1.0210916010799036</v>
      </c>
      <c r="K36" s="2"/>
      <c r="L36" s="7">
        <f t="shared" si="22"/>
        <v>3182.63</v>
      </c>
      <c r="M36" s="2"/>
      <c r="N36" s="8">
        <f t="shared" si="23"/>
        <v>0.66050634329984415</v>
      </c>
      <c r="O36" s="11"/>
      <c r="P36" s="7">
        <v>15727.36</v>
      </c>
      <c r="Q36" s="2"/>
      <c r="R36" s="8">
        <f t="shared" si="24"/>
        <v>0.21849297065284379</v>
      </c>
      <c r="S36" s="2"/>
      <c r="T36" s="7">
        <v>7590.2</v>
      </c>
      <c r="U36" s="2"/>
      <c r="V36" s="8">
        <f t="shared" si="25"/>
        <v>1.3330523283894027</v>
      </c>
      <c r="W36" s="2"/>
      <c r="X36" s="7">
        <f t="shared" si="26"/>
        <v>8137.1600000000008</v>
      </c>
      <c r="Y36" s="2"/>
      <c r="Z36" s="8">
        <f t="shared" si="27"/>
        <v>1.0720613422571212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8869.26</v>
      </c>
      <c r="E37" s="2"/>
      <c r="F37" s="8">
        <f t="shared" si="20"/>
        <v>0.16965318809145663</v>
      </c>
      <c r="G37" s="2"/>
      <c r="H37" s="7">
        <v>155.1</v>
      </c>
      <c r="I37" s="2"/>
      <c r="J37" s="8">
        <f t="shared" si="21"/>
        <v>3.2867550763518924E-2</v>
      </c>
      <c r="K37" s="2"/>
      <c r="L37" s="7">
        <f t="shared" si="22"/>
        <v>8714.16</v>
      </c>
      <c r="M37" s="2"/>
      <c r="N37" s="8">
        <f t="shared" si="23"/>
        <v>56.184139264990328</v>
      </c>
      <c r="O37" s="11"/>
      <c r="P37" s="7">
        <v>12222.65</v>
      </c>
      <c r="Q37" s="2"/>
      <c r="R37" s="8">
        <f t="shared" si="24"/>
        <v>0.1698036484031637</v>
      </c>
      <c r="S37" s="2"/>
      <c r="T37" s="7">
        <v>155.1</v>
      </c>
      <c r="U37" s="2"/>
      <c r="V37" s="8">
        <f t="shared" si="25"/>
        <v>2.7239916752285362E-2</v>
      </c>
      <c r="W37" s="2"/>
      <c r="X37" s="7">
        <f t="shared" si="26"/>
        <v>12067.55</v>
      </c>
      <c r="Y37" s="2"/>
      <c r="Z37" s="8">
        <f t="shared" si="27"/>
        <v>77.804964539007088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12375.48</v>
      </c>
      <c r="E38" s="2"/>
      <c r="F38" s="8">
        <f t="shared" si="20"/>
        <v>0.23672094810187769</v>
      </c>
      <c r="G38" s="2"/>
      <c r="H38" s="7">
        <v>55</v>
      </c>
      <c r="I38" s="2"/>
      <c r="J38" s="8">
        <f t="shared" si="21"/>
        <v>1.1655159845219478E-2</v>
      </c>
      <c r="K38" s="2"/>
      <c r="L38" s="7">
        <f t="shared" si="22"/>
        <v>12320.48</v>
      </c>
      <c r="M38" s="2"/>
      <c r="N38" s="8">
        <f t="shared" si="23"/>
        <v>224.00872727272727</v>
      </c>
      <c r="O38" s="11"/>
      <c r="P38" s="7">
        <v>16338.48</v>
      </c>
      <c r="Q38" s="2"/>
      <c r="R38" s="8">
        <f t="shared" si="24"/>
        <v>0.2269829794162577</v>
      </c>
      <c r="S38" s="2"/>
      <c r="T38" s="7">
        <v>1405</v>
      </c>
      <c r="U38" s="2"/>
      <c r="V38" s="8">
        <f t="shared" si="25"/>
        <v>0.24675746638917431</v>
      </c>
      <c r="W38" s="2"/>
      <c r="X38" s="7">
        <f t="shared" si="26"/>
        <v>14933.48</v>
      </c>
      <c r="Y38" s="2"/>
      <c r="Z38" s="8">
        <f t="shared" si="27"/>
        <v>10.628811387900356</v>
      </c>
    </row>
    <row r="39" spans="1:26" s="28" customFormat="1" outlineLevel="1" collapsed="1" x14ac:dyDescent="0.3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47.5</v>
      </c>
      <c r="E39" s="1"/>
      <c r="F39" s="5">
        <f t="shared" ref="F39:F47" si="28">IF(D$12=0,0,D39/D$12)</f>
        <v>9.0859061909834532E-4</v>
      </c>
      <c r="G39" s="1"/>
      <c r="H39" s="1">
        <f>SUM(OSRRefH22_2x_0)</f>
        <v>0</v>
      </c>
      <c r="I39" s="1"/>
      <c r="J39" s="5">
        <f t="shared" ref="J39:J47" si="29">IF(H$12=0,0,H39/H$12)</f>
        <v>0</v>
      </c>
      <c r="K39" s="1"/>
      <c r="L39" s="1">
        <f t="shared" ref="L39:L47" si="30">+D39-H39</f>
        <v>47.5</v>
      </c>
      <c r="M39" s="1"/>
      <c r="N39" s="5">
        <f t="shared" ref="N39:N47" si="31">IF(H39=0,0,L39/H39)</f>
        <v>0</v>
      </c>
      <c r="O39" s="14"/>
      <c r="P39" s="1">
        <f>SUM(OSRRefP22_2x_0)</f>
        <v>472.29</v>
      </c>
      <c r="Q39" s="1"/>
      <c r="R39" s="5">
        <f t="shared" ref="R39:R47" si="32">IF(P$12=0,0,P39/P$12)</f>
        <v>6.5613074991372738E-3</v>
      </c>
      <c r="S39" s="1"/>
      <c r="T39" s="1">
        <f>SUM(OSRRefT22_2x_0)</f>
        <v>45.97</v>
      </c>
      <c r="U39" s="1"/>
      <c r="V39" s="5">
        <f t="shared" ref="V39:V47" si="33">IF(T$12=0,0,T39/T$12)</f>
        <v>8.0736232953098532E-3</v>
      </c>
      <c r="W39" s="1"/>
      <c r="X39" s="1">
        <f t="shared" ref="X39:X47" si="34">+P39-T39</f>
        <v>426.32000000000005</v>
      </c>
      <c r="Y39" s="1"/>
      <c r="Z39" s="5">
        <f t="shared" ref="Z39:Z47" si="35">IF(T39=0,0,X39/T39)</f>
        <v>9.2738742658255404</v>
      </c>
    </row>
    <row r="40" spans="1:26" s="24" customFormat="1" hidden="1" outlineLevel="2" x14ac:dyDescent="0.3">
      <c r="A40" s="27"/>
      <c r="B40" s="11" t="str">
        <f>CONCATENATE("          ", "6362", " - ", "ADVERTISING EXPENSE")</f>
        <v xml:space="preserve">          6362 - ADVERTISING EXPENSE</v>
      </c>
      <c r="C40" s="11"/>
      <c r="D40" s="7">
        <v>47.5</v>
      </c>
      <c r="E40" s="2"/>
      <c r="F40" s="8">
        <f t="shared" si="28"/>
        <v>9.0859061909834532E-4</v>
      </c>
      <c r="G40" s="2"/>
      <c r="H40" s="7"/>
      <c r="I40" s="2"/>
      <c r="J40" s="8">
        <f t="shared" si="29"/>
        <v>0</v>
      </c>
      <c r="K40" s="2"/>
      <c r="L40" s="7">
        <f t="shared" si="30"/>
        <v>47.5</v>
      </c>
      <c r="M40" s="2"/>
      <c r="N40" s="8">
        <f t="shared" si="31"/>
        <v>0</v>
      </c>
      <c r="O40" s="11"/>
      <c r="P40" s="7">
        <v>472.29</v>
      </c>
      <c r="Q40" s="2"/>
      <c r="R40" s="8">
        <f t="shared" si="32"/>
        <v>6.5613074991372738E-3</v>
      </c>
      <c r="S40" s="2"/>
      <c r="T40" s="7">
        <v>45.97</v>
      </c>
      <c r="U40" s="2"/>
      <c r="V40" s="8">
        <f t="shared" si="33"/>
        <v>8.0736232953098532E-3</v>
      </c>
      <c r="W40" s="2"/>
      <c r="X40" s="7">
        <f t="shared" si="34"/>
        <v>426.32000000000005</v>
      </c>
      <c r="Y40" s="2"/>
      <c r="Z40" s="8">
        <f t="shared" si="35"/>
        <v>9.2738742658255404</v>
      </c>
    </row>
    <row r="41" spans="1:26" s="28" customFormat="1" outlineLevel="1" collapsed="1" x14ac:dyDescent="0.3">
      <c r="A41" s="29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-88.22</v>
      </c>
      <c r="E41" s="1"/>
      <c r="F41" s="5">
        <f t="shared" si="28"/>
        <v>-1.6874918824601268E-3</v>
      </c>
      <c r="G41" s="1"/>
      <c r="H41" s="1">
        <f>SUM(OSRRefH22_3x_0)</f>
        <v>-0.14000000000000001</v>
      </c>
      <c r="I41" s="1"/>
      <c r="J41" s="5">
        <f t="shared" si="29"/>
        <v>-2.9667679606013222E-5</v>
      </c>
      <c r="K41" s="1"/>
      <c r="L41" s="1">
        <f t="shared" si="30"/>
        <v>-88.08</v>
      </c>
      <c r="M41" s="1"/>
      <c r="N41" s="5">
        <f t="shared" si="31"/>
        <v>629.14285714285711</v>
      </c>
      <c r="O41" s="14"/>
      <c r="P41" s="1">
        <f>SUM(OSRRefP22_3x_0)</f>
        <v>-107.24</v>
      </c>
      <c r="Q41" s="1"/>
      <c r="R41" s="5">
        <f t="shared" si="32"/>
        <v>-1.4898359402220694E-3</v>
      </c>
      <c r="S41" s="1"/>
      <c r="T41" s="1">
        <f>SUM(OSRRefT22_3x_0)</f>
        <v>-0.14000000000000001</v>
      </c>
      <c r="U41" s="1"/>
      <c r="V41" s="5">
        <f t="shared" si="33"/>
        <v>-2.4587932593939079E-5</v>
      </c>
      <c r="W41" s="1"/>
      <c r="X41" s="1">
        <f t="shared" si="34"/>
        <v>-107.1</v>
      </c>
      <c r="Y41" s="1"/>
      <c r="Z41" s="5">
        <f t="shared" si="35"/>
        <v>764.99999999999989</v>
      </c>
    </row>
    <row r="42" spans="1:26" s="24" customFormat="1" hidden="1" outlineLevel="2" x14ac:dyDescent="0.3">
      <c r="A42" s="27"/>
      <c r="B42" s="11" t="str">
        <f>CONCATENATE("          ", "6272", " - ", "CASH (OVER/SHORT)")</f>
        <v xml:space="preserve">          6272 - CASH (OVER/SHORT)</v>
      </c>
      <c r="C42" s="11"/>
      <c r="D42" s="7">
        <v>-88.22</v>
      </c>
      <c r="E42" s="2"/>
      <c r="F42" s="8">
        <f t="shared" si="28"/>
        <v>-1.6874918824601268E-3</v>
      </c>
      <c r="G42" s="2"/>
      <c r="H42" s="7">
        <v>-0.14000000000000001</v>
      </c>
      <c r="I42" s="2"/>
      <c r="J42" s="8">
        <f t="shared" si="29"/>
        <v>-2.9667679606013222E-5</v>
      </c>
      <c r="K42" s="2"/>
      <c r="L42" s="7">
        <f t="shared" si="30"/>
        <v>-88.08</v>
      </c>
      <c r="M42" s="2"/>
      <c r="N42" s="8">
        <f t="shared" si="31"/>
        <v>629.14285714285711</v>
      </c>
      <c r="O42" s="11"/>
      <c r="P42" s="7">
        <v>-107.24</v>
      </c>
      <c r="Q42" s="2"/>
      <c r="R42" s="8">
        <f t="shared" si="32"/>
        <v>-1.4898359402220694E-3</v>
      </c>
      <c r="S42" s="2"/>
      <c r="T42" s="7">
        <v>-0.14000000000000001</v>
      </c>
      <c r="U42" s="2"/>
      <c r="V42" s="8">
        <f t="shared" si="33"/>
        <v>-2.4587932593939079E-5</v>
      </c>
      <c r="W42" s="2"/>
      <c r="X42" s="7">
        <f t="shared" si="34"/>
        <v>-107.1</v>
      </c>
      <c r="Y42" s="2"/>
      <c r="Z42" s="8">
        <f t="shared" si="35"/>
        <v>764.99999999999989</v>
      </c>
    </row>
    <row r="43" spans="1:26" s="28" customFormat="1" outlineLevel="1" collapsed="1" x14ac:dyDescent="0.3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2341.4699999999998</v>
      </c>
      <c r="E43" s="1"/>
      <c r="F43" s="5">
        <f t="shared" si="28"/>
        <v>4.4788161618951633E-2</v>
      </c>
      <c r="G43" s="1"/>
      <c r="H43" s="1">
        <f>SUM(OSRRefH22_4x_0)</f>
        <v>333.07</v>
      </c>
      <c r="I43" s="1"/>
      <c r="J43" s="5">
        <f t="shared" si="29"/>
        <v>7.0581528902677299E-2</v>
      </c>
      <c r="K43" s="1"/>
      <c r="L43" s="1">
        <f t="shared" si="30"/>
        <v>2008.3999999999999</v>
      </c>
      <c r="M43" s="1"/>
      <c r="N43" s="5">
        <f t="shared" si="31"/>
        <v>6.0299636713003268</v>
      </c>
      <c r="O43" s="14"/>
      <c r="P43" s="1">
        <f>SUM(OSRRefP22_4x_0)</f>
        <v>3274.72</v>
      </c>
      <c r="Q43" s="1"/>
      <c r="R43" s="5">
        <f t="shared" si="32"/>
        <v>4.5494177080977388E-2</v>
      </c>
      <c r="S43" s="1"/>
      <c r="T43" s="1">
        <f>SUM(OSRRefT22_4x_0)</f>
        <v>615.89</v>
      </c>
      <c r="U43" s="1"/>
      <c r="V43" s="5">
        <f t="shared" si="33"/>
        <v>0.10816758432343671</v>
      </c>
      <c r="W43" s="1"/>
      <c r="X43" s="1">
        <f t="shared" si="34"/>
        <v>2658.83</v>
      </c>
      <c r="Y43" s="1"/>
      <c r="Z43" s="5">
        <f t="shared" si="35"/>
        <v>4.3170533699199529</v>
      </c>
    </row>
    <row r="44" spans="1:26" s="24" customFormat="1" hidden="1" outlineLevel="2" x14ac:dyDescent="0.3">
      <c r="A44" s="27"/>
      <c r="B44" s="11" t="str">
        <f>CONCATENATE("          ", "6381", " - ", "BANK/CREDIT CARD FEES")</f>
        <v xml:space="preserve">          6381 - BANK/CREDIT CARD FEES</v>
      </c>
      <c r="C44" s="11"/>
      <c r="D44" s="7">
        <v>2341.4699999999998</v>
      </c>
      <c r="E44" s="2"/>
      <c r="F44" s="8">
        <f t="shared" si="28"/>
        <v>4.4788161618951633E-2</v>
      </c>
      <c r="G44" s="2"/>
      <c r="H44" s="7">
        <v>333.07</v>
      </c>
      <c r="I44" s="2"/>
      <c r="J44" s="8">
        <f t="shared" si="29"/>
        <v>7.0581528902677299E-2</v>
      </c>
      <c r="K44" s="2"/>
      <c r="L44" s="7">
        <f t="shared" si="30"/>
        <v>2008.3999999999999</v>
      </c>
      <c r="M44" s="2"/>
      <c r="N44" s="8">
        <f t="shared" si="31"/>
        <v>6.0299636713003268</v>
      </c>
      <c r="O44" s="11"/>
      <c r="P44" s="7">
        <v>3274.72</v>
      </c>
      <c r="Q44" s="2"/>
      <c r="R44" s="8">
        <f t="shared" si="32"/>
        <v>4.5494177080977388E-2</v>
      </c>
      <c r="S44" s="2"/>
      <c r="T44" s="7">
        <v>615.89</v>
      </c>
      <c r="U44" s="2"/>
      <c r="V44" s="8">
        <f t="shared" si="33"/>
        <v>0.10816758432343671</v>
      </c>
      <c r="W44" s="2"/>
      <c r="X44" s="7">
        <f t="shared" si="34"/>
        <v>2658.83</v>
      </c>
      <c r="Y44" s="2"/>
      <c r="Z44" s="8">
        <f t="shared" si="35"/>
        <v>4.3170533699199529</v>
      </c>
    </row>
    <row r="45" spans="1:26" s="28" customFormat="1" outlineLevel="1" collapsed="1" x14ac:dyDescent="0.3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32826.11</v>
      </c>
      <c r="E45" s="1"/>
      <c r="F45" s="5">
        <f t="shared" si="28"/>
        <v>0.62790517068400808</v>
      </c>
      <c r="G45" s="1"/>
      <c r="H45" s="1">
        <f>SUM(OSRRefH22_5x_0)</f>
        <v>37690.479999999996</v>
      </c>
      <c r="I45" s="1"/>
      <c r="J45" s="5">
        <f t="shared" si="29"/>
        <v>7.9870648916917784</v>
      </c>
      <c r="K45" s="1"/>
      <c r="L45" s="1">
        <f t="shared" si="30"/>
        <v>-4864.3699999999953</v>
      </c>
      <c r="M45" s="1"/>
      <c r="N45" s="5">
        <f t="shared" si="31"/>
        <v>-0.12906097242592812</v>
      </c>
      <c r="O45" s="14"/>
      <c r="P45" s="1">
        <f>SUM(OSRRefP22_5x_0)</f>
        <v>65652.22</v>
      </c>
      <c r="Q45" s="1"/>
      <c r="R45" s="5">
        <f t="shared" si="32"/>
        <v>0.91207606220968063</v>
      </c>
      <c r="S45" s="1"/>
      <c r="T45" s="1">
        <f>SUM(OSRRefT22_5x_0)</f>
        <v>75246.489999999991</v>
      </c>
      <c r="U45" s="1"/>
      <c r="V45" s="5">
        <f t="shared" si="33"/>
        <v>13.215397314646504</v>
      </c>
      <c r="W45" s="1"/>
      <c r="X45" s="1">
        <f t="shared" si="34"/>
        <v>-9594.2699999999895</v>
      </c>
      <c r="Y45" s="1"/>
      <c r="Z45" s="5">
        <f t="shared" si="35"/>
        <v>-0.12750455203957009</v>
      </c>
    </row>
    <row r="46" spans="1:26" s="24" customFormat="1" hidden="1" outlineLevel="2" x14ac:dyDescent="0.3">
      <c r="A46" s="27"/>
      <c r="B46" s="11" t="str">
        <f>CONCATENATE("          ", "6321", " - ", "BUILDING DEPRECIATION")</f>
        <v xml:space="preserve">          6321 - BUILDING DEPRECIATION</v>
      </c>
      <c r="C46" s="11"/>
      <c r="D46" s="7">
        <v>23583.47</v>
      </c>
      <c r="E46" s="2"/>
      <c r="F46" s="8">
        <f t="shared" si="28"/>
        <v>0.45110988647973171</v>
      </c>
      <c r="G46" s="2"/>
      <c r="H46" s="7">
        <v>23844.89</v>
      </c>
      <c r="I46" s="2"/>
      <c r="J46" s="8">
        <f t="shared" si="29"/>
        <v>5.0530182625759181</v>
      </c>
      <c r="K46" s="2"/>
      <c r="L46" s="7">
        <f t="shared" si="30"/>
        <v>-261.41999999999825</v>
      </c>
      <c r="M46" s="2"/>
      <c r="N46" s="8">
        <f t="shared" si="31"/>
        <v>-1.0963355251376638E-2</v>
      </c>
      <c r="O46" s="11"/>
      <c r="P46" s="7">
        <v>47166.94</v>
      </c>
      <c r="Q46" s="2"/>
      <c r="R46" s="8">
        <f t="shared" si="32"/>
        <v>0.65526857890990242</v>
      </c>
      <c r="S46" s="2"/>
      <c r="T46" s="7">
        <v>47689.78</v>
      </c>
      <c r="U46" s="2"/>
      <c r="V46" s="8">
        <f t="shared" si="33"/>
        <v>8.3756649718555991</v>
      </c>
      <c r="W46" s="2"/>
      <c r="X46" s="7">
        <f t="shared" si="34"/>
        <v>-522.83999999999651</v>
      </c>
      <c r="Y46" s="2"/>
      <c r="Z46" s="8">
        <f t="shared" si="35"/>
        <v>-1.0963355251376638E-2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9242.64</v>
      </c>
      <c r="E47" s="2"/>
      <c r="F47" s="8">
        <f t="shared" si="28"/>
        <v>0.17679528420427643</v>
      </c>
      <c r="G47" s="2"/>
      <c r="H47" s="7">
        <v>13845.59</v>
      </c>
      <c r="I47" s="2"/>
      <c r="J47" s="8">
        <f t="shared" si="29"/>
        <v>2.9340466291158611</v>
      </c>
      <c r="K47" s="2"/>
      <c r="L47" s="7">
        <f t="shared" si="30"/>
        <v>-4602.9500000000007</v>
      </c>
      <c r="M47" s="2"/>
      <c r="N47" s="8">
        <f t="shared" si="31"/>
        <v>-0.33244881583233366</v>
      </c>
      <c r="O47" s="11"/>
      <c r="P47" s="7">
        <v>18485.28</v>
      </c>
      <c r="Q47" s="2"/>
      <c r="R47" s="8">
        <f t="shared" si="32"/>
        <v>0.25680748329977821</v>
      </c>
      <c r="S47" s="2"/>
      <c r="T47" s="7">
        <v>27556.71</v>
      </c>
      <c r="U47" s="2"/>
      <c r="V47" s="8">
        <f t="shared" si="33"/>
        <v>4.8397323427909065</v>
      </c>
      <c r="W47" s="2"/>
      <c r="X47" s="7">
        <f t="shared" si="34"/>
        <v>-9071.43</v>
      </c>
      <c r="Y47" s="2"/>
      <c r="Z47" s="8">
        <f t="shared" si="35"/>
        <v>-0.32919132944389951</v>
      </c>
    </row>
    <row r="48" spans="1:26" s="28" customFormat="1" outlineLevel="1" collapsed="1" x14ac:dyDescent="0.3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18</v>
      </c>
      <c r="E48" s="1"/>
      <c r="F48" s="5">
        <f t="shared" ref="F48:F63" si="36">IF(D$12=0,0,D48/D$12)</f>
        <v>3.4430802407937297E-4</v>
      </c>
      <c r="G48" s="1"/>
      <c r="H48" s="1">
        <f>SUM(OSRRefH22_6x_0)</f>
        <v>0</v>
      </c>
      <c r="I48" s="1"/>
      <c r="J48" s="5">
        <f t="shared" ref="J48:J63" si="37">IF(H$12=0,0,H48/H$12)</f>
        <v>0</v>
      </c>
      <c r="K48" s="1"/>
      <c r="L48" s="1">
        <f t="shared" ref="L48:L63" si="38">+D48-H48</f>
        <v>18</v>
      </c>
      <c r="M48" s="1"/>
      <c r="N48" s="5">
        <f t="shared" ref="N48:N63" si="39">IF(H48=0,0,L48/H48)</f>
        <v>0</v>
      </c>
      <c r="O48" s="14"/>
      <c r="P48" s="1">
        <f>SUM(OSRRefP22_6x_0)</f>
        <v>18</v>
      </c>
      <c r="Q48" s="1"/>
      <c r="R48" s="5">
        <f t="shared" ref="R48:R63" si="40">IF(P$12=0,0,P48/P$12)</f>
        <v>2.5006571171202211E-4</v>
      </c>
      <c r="S48" s="1"/>
      <c r="T48" s="1">
        <f>SUM(OSRRefT22_6x_0)</f>
        <v>0</v>
      </c>
      <c r="U48" s="1"/>
      <c r="V48" s="5">
        <f t="shared" ref="V48:V63" si="41">IF(T$12=0,0,T48/T$12)</f>
        <v>0</v>
      </c>
      <c r="W48" s="1"/>
      <c r="X48" s="1">
        <f t="shared" ref="X48:X63" si="42">+P48-T48</f>
        <v>18</v>
      </c>
      <c r="Y48" s="1"/>
      <c r="Z48" s="5">
        <f t="shared" ref="Z48:Z63" si="43">IF(T48=0,0,X48/T48)</f>
        <v>0</v>
      </c>
    </row>
    <row r="49" spans="1:26" s="24" customFormat="1" hidden="1" outlineLevel="2" x14ac:dyDescent="0.3">
      <c r="A49" s="27"/>
      <c r="B49" s="11" t="str">
        <f>CONCATENATE("          ", "6277", " - ", "EMPLOYEE APPRECIATION")</f>
        <v xml:space="preserve">          6277 - EMPLOYEE APPRECIATION</v>
      </c>
      <c r="C49" s="11"/>
      <c r="D49" s="7">
        <v>18</v>
      </c>
      <c r="E49" s="2"/>
      <c r="F49" s="8">
        <f t="shared" si="36"/>
        <v>3.4430802407937297E-4</v>
      </c>
      <c r="G49" s="2"/>
      <c r="H49" s="7"/>
      <c r="I49" s="2"/>
      <c r="J49" s="8">
        <f t="shared" si="37"/>
        <v>0</v>
      </c>
      <c r="K49" s="2"/>
      <c r="L49" s="7">
        <f t="shared" si="38"/>
        <v>18</v>
      </c>
      <c r="M49" s="2"/>
      <c r="N49" s="8">
        <f t="shared" si="39"/>
        <v>0</v>
      </c>
      <c r="O49" s="11"/>
      <c r="P49" s="7">
        <v>18</v>
      </c>
      <c r="Q49" s="2"/>
      <c r="R49" s="8">
        <f t="shared" si="40"/>
        <v>2.5006571171202211E-4</v>
      </c>
      <c r="S49" s="2"/>
      <c r="T49" s="7"/>
      <c r="U49" s="2"/>
      <c r="V49" s="8">
        <f t="shared" si="41"/>
        <v>0</v>
      </c>
      <c r="W49" s="2"/>
      <c r="X49" s="7">
        <f t="shared" si="42"/>
        <v>18</v>
      </c>
      <c r="Y49" s="2"/>
      <c r="Z49" s="8">
        <f t="shared" si="43"/>
        <v>0</v>
      </c>
    </row>
    <row r="50" spans="1:26" s="28" customFormat="1" outlineLevel="1" collapsed="1" x14ac:dyDescent="0.3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1239.52</v>
      </c>
      <c r="E50" s="1"/>
      <c r="F50" s="5">
        <f t="shared" si="36"/>
        <v>2.370981566704802E-2</v>
      </c>
      <c r="G50" s="1"/>
      <c r="H50" s="1">
        <f>SUM(OSRRefH22_7x_0)</f>
        <v>163.80000000000001</v>
      </c>
      <c r="I50" s="1"/>
      <c r="J50" s="5">
        <f t="shared" si="37"/>
        <v>3.4711185139035469E-2</v>
      </c>
      <c r="K50" s="1"/>
      <c r="L50" s="1">
        <f t="shared" si="38"/>
        <v>1075.72</v>
      </c>
      <c r="M50" s="1"/>
      <c r="N50" s="5">
        <f t="shared" si="39"/>
        <v>6.567277167277167</v>
      </c>
      <c r="O50" s="14"/>
      <c r="P50" s="1">
        <f>SUM(OSRRefP22_7x_0)</f>
        <v>1707.45</v>
      </c>
      <c r="Q50" s="1"/>
      <c r="R50" s="5">
        <f t="shared" si="40"/>
        <v>2.372081663681623E-2</v>
      </c>
      <c r="S50" s="1"/>
      <c r="T50" s="1">
        <f>SUM(OSRRefT22_7x_0)</f>
        <v>1032.75</v>
      </c>
      <c r="U50" s="1"/>
      <c r="V50" s="5">
        <f t="shared" si="41"/>
        <v>0.18137990990278988</v>
      </c>
      <c r="W50" s="1"/>
      <c r="X50" s="1">
        <f t="shared" si="42"/>
        <v>674.7</v>
      </c>
      <c r="Y50" s="1"/>
      <c r="Z50" s="5">
        <f t="shared" si="43"/>
        <v>0.65330428467683377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1239.52</v>
      </c>
      <c r="E51" s="2"/>
      <c r="F51" s="8">
        <f t="shared" si="36"/>
        <v>2.370981566704802E-2</v>
      </c>
      <c r="G51" s="2"/>
      <c r="H51" s="7">
        <v>163.80000000000001</v>
      </c>
      <c r="I51" s="2"/>
      <c r="J51" s="8">
        <f t="shared" si="37"/>
        <v>3.4711185139035469E-2</v>
      </c>
      <c r="K51" s="2"/>
      <c r="L51" s="7">
        <f t="shared" si="38"/>
        <v>1075.72</v>
      </c>
      <c r="M51" s="2"/>
      <c r="N51" s="8">
        <f t="shared" si="39"/>
        <v>6.567277167277167</v>
      </c>
      <c r="O51" s="11"/>
      <c r="P51" s="7">
        <v>1707.45</v>
      </c>
      <c r="Q51" s="2"/>
      <c r="R51" s="8">
        <f t="shared" si="40"/>
        <v>2.372081663681623E-2</v>
      </c>
      <c r="S51" s="2"/>
      <c r="T51" s="7">
        <v>1032.75</v>
      </c>
      <c r="U51" s="2"/>
      <c r="V51" s="8">
        <f t="shared" si="41"/>
        <v>0.18137990990278988</v>
      </c>
      <c r="W51" s="2"/>
      <c r="X51" s="7">
        <f t="shared" si="42"/>
        <v>674.7</v>
      </c>
      <c r="Y51" s="2"/>
      <c r="Z51" s="8">
        <f t="shared" si="43"/>
        <v>0.65330428467683377</v>
      </c>
    </row>
    <row r="52" spans="1:26" s="28" customFormat="1" outlineLevel="1" collapsed="1" x14ac:dyDescent="0.3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12156.93</v>
      </c>
      <c r="E52" s="1"/>
      <c r="F52" s="5">
        <f t="shared" si="36"/>
        <v>0.23254047484284732</v>
      </c>
      <c r="G52" s="1"/>
      <c r="H52" s="1">
        <f>SUM(OSRRefH22_8x_0)</f>
        <v>-1107.27</v>
      </c>
      <c r="I52" s="1"/>
      <c r="J52" s="5">
        <f t="shared" si="37"/>
        <v>-0.23464379712393038</v>
      </c>
      <c r="K52" s="1"/>
      <c r="L52" s="1">
        <f t="shared" si="38"/>
        <v>13264.2</v>
      </c>
      <c r="M52" s="1"/>
      <c r="N52" s="5">
        <f t="shared" si="39"/>
        <v>-11.979192066975536</v>
      </c>
      <c r="O52" s="14"/>
      <c r="P52" s="1">
        <f>SUM(OSRRefP22_8x_0)</f>
        <v>12322.21</v>
      </c>
      <c r="Q52" s="1"/>
      <c r="R52" s="5">
        <f t="shared" si="40"/>
        <v>0.17118678963972198</v>
      </c>
      <c r="S52" s="1"/>
      <c r="T52" s="1">
        <f>SUM(OSRRefT22_8x_0)</f>
        <v>3215.93</v>
      </c>
      <c r="U52" s="1"/>
      <c r="V52" s="5">
        <f t="shared" si="41"/>
        <v>0.56480764333447497</v>
      </c>
      <c r="W52" s="1"/>
      <c r="X52" s="1">
        <f t="shared" si="42"/>
        <v>9106.2799999999988</v>
      </c>
      <c r="Y52" s="1"/>
      <c r="Z52" s="5">
        <f t="shared" si="43"/>
        <v>2.8316163598088266</v>
      </c>
    </row>
    <row r="53" spans="1:26" s="24" customFormat="1" hidden="1" outlineLevel="2" x14ac:dyDescent="0.3">
      <c r="A53" s="27"/>
      <c r="B53" s="11" t="str">
        <f>CONCATENATE("          ", "6279", " - ", "GENERAL EXPENSE")</f>
        <v xml:space="preserve">          6279 - GENERAL EXPENSE</v>
      </c>
      <c r="C53" s="11"/>
      <c r="D53" s="7">
        <v>12156.93</v>
      </c>
      <c r="E53" s="2"/>
      <c r="F53" s="8">
        <f t="shared" si="36"/>
        <v>0.23254047484284732</v>
      </c>
      <c r="G53" s="2"/>
      <c r="H53" s="7">
        <v>-1107.27</v>
      </c>
      <c r="I53" s="2"/>
      <c r="J53" s="8">
        <f t="shared" si="37"/>
        <v>-0.23464379712393038</v>
      </c>
      <c r="K53" s="2"/>
      <c r="L53" s="7">
        <f t="shared" si="38"/>
        <v>13264.2</v>
      </c>
      <c r="M53" s="2"/>
      <c r="N53" s="8">
        <f t="shared" si="39"/>
        <v>-11.979192066975536</v>
      </c>
      <c r="O53" s="11"/>
      <c r="P53" s="7">
        <v>12322.21</v>
      </c>
      <c r="Q53" s="2"/>
      <c r="R53" s="8">
        <f t="shared" si="40"/>
        <v>0.17118678963972198</v>
      </c>
      <c r="S53" s="2"/>
      <c r="T53" s="7">
        <v>3215.93</v>
      </c>
      <c r="U53" s="2"/>
      <c r="V53" s="8">
        <f t="shared" si="41"/>
        <v>0.56480764333447497</v>
      </c>
      <c r="W53" s="2"/>
      <c r="X53" s="7">
        <f t="shared" si="42"/>
        <v>9106.2799999999988</v>
      </c>
      <c r="Y53" s="2"/>
      <c r="Z53" s="8">
        <f t="shared" si="43"/>
        <v>2.8316163598088266</v>
      </c>
    </row>
    <row r="54" spans="1:26" s="28" customFormat="1" outlineLevel="1" collapsed="1" x14ac:dyDescent="0.3">
      <c r="A54" s="29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SUM(OSRRefD22_9x_0)</f>
        <v>5756.21</v>
      </c>
      <c r="E54" s="1"/>
      <c r="F54" s="5">
        <f t="shared" si="36"/>
        <v>0.11010607173810709</v>
      </c>
      <c r="G54" s="1"/>
      <c r="H54" s="1">
        <f>SUM(OSRRefH22_9x_0)</f>
        <v>4240.13</v>
      </c>
      <c r="I54" s="1"/>
      <c r="J54" s="5">
        <f t="shared" si="37"/>
        <v>0.89853441662746303</v>
      </c>
      <c r="K54" s="1"/>
      <c r="L54" s="1">
        <f t="shared" si="38"/>
        <v>1516.08</v>
      </c>
      <c r="M54" s="1"/>
      <c r="N54" s="5">
        <f t="shared" si="39"/>
        <v>0.35755507496232425</v>
      </c>
      <c r="O54" s="14"/>
      <c r="P54" s="1">
        <f>SUM(OSRRefP22_9x_0)</f>
        <v>11512.42</v>
      </c>
      <c r="Q54" s="1"/>
      <c r="R54" s="5">
        <f t="shared" si="40"/>
        <v>0.15993675004598432</v>
      </c>
      <c r="S54" s="1"/>
      <c r="T54" s="1">
        <f>SUM(OSRRefT22_9x_0)</f>
        <v>8480.26</v>
      </c>
      <c r="U54" s="1"/>
      <c r="V54" s="5">
        <f t="shared" si="41"/>
        <v>1.48937186613627</v>
      </c>
      <c r="W54" s="1"/>
      <c r="X54" s="1">
        <f t="shared" si="42"/>
        <v>3032.16</v>
      </c>
      <c r="Y54" s="1"/>
      <c r="Z54" s="5">
        <f t="shared" si="43"/>
        <v>0.35755507496232425</v>
      </c>
    </row>
    <row r="55" spans="1:26" s="24" customFormat="1" hidden="1" outlineLevel="2" x14ac:dyDescent="0.3">
      <c r="A55" s="27"/>
      <c r="B55" s="11" t="str">
        <f>CONCATENATE("          ", "6314", " - ", "LIABILITY INSURANCE")</f>
        <v xml:space="preserve">          6314 - LIABILITY INSURANCE</v>
      </c>
      <c r="C55" s="11"/>
      <c r="D55" s="7">
        <v>5756.21</v>
      </c>
      <c r="E55" s="2"/>
      <c r="F55" s="8">
        <f t="shared" si="36"/>
        <v>0.11010607173810709</v>
      </c>
      <c r="G55" s="2"/>
      <c r="H55" s="7">
        <v>4240.13</v>
      </c>
      <c r="I55" s="2"/>
      <c r="J55" s="8">
        <f t="shared" si="37"/>
        <v>0.89853441662746303</v>
      </c>
      <c r="K55" s="2"/>
      <c r="L55" s="7">
        <f t="shared" si="38"/>
        <v>1516.08</v>
      </c>
      <c r="M55" s="2"/>
      <c r="N55" s="8">
        <f t="shared" si="39"/>
        <v>0.35755507496232425</v>
      </c>
      <c r="O55" s="11"/>
      <c r="P55" s="7">
        <v>11512.42</v>
      </c>
      <c r="Q55" s="2"/>
      <c r="R55" s="8">
        <f t="shared" si="40"/>
        <v>0.15993675004598432</v>
      </c>
      <c r="S55" s="2"/>
      <c r="T55" s="7">
        <v>8480.26</v>
      </c>
      <c r="U55" s="2"/>
      <c r="V55" s="8">
        <f t="shared" si="41"/>
        <v>1.48937186613627</v>
      </c>
      <c r="W55" s="2"/>
      <c r="X55" s="7">
        <f t="shared" si="42"/>
        <v>3032.16</v>
      </c>
      <c r="Y55" s="2"/>
      <c r="Z55" s="8">
        <f t="shared" si="43"/>
        <v>0.35755507496232425</v>
      </c>
    </row>
    <row r="56" spans="1:26" s="28" customFormat="1" outlineLevel="1" collapsed="1" x14ac:dyDescent="0.3">
      <c r="A56" s="29"/>
      <c r="B56" s="14" t="str">
        <f>CONCATENATE("     ","Interest                                          ")</f>
        <v xml:space="preserve">     Interest                                          </v>
      </c>
      <c r="C56" s="14"/>
      <c r="D56" s="1">
        <f>SUM(OSRRefD22_10x_0)</f>
        <v>7253</v>
      </c>
      <c r="E56" s="1"/>
      <c r="F56" s="5">
        <f t="shared" si="36"/>
        <v>0.13873700548042733</v>
      </c>
      <c r="G56" s="1"/>
      <c r="H56" s="1">
        <f>SUM(OSRRefH22_10x_0)</f>
        <v>7510</v>
      </c>
      <c r="I56" s="1"/>
      <c r="J56" s="5">
        <f t="shared" si="37"/>
        <v>1.5914590988654234</v>
      </c>
      <c r="K56" s="1"/>
      <c r="L56" s="1">
        <f t="shared" si="38"/>
        <v>-257</v>
      </c>
      <c r="M56" s="1"/>
      <c r="N56" s="5">
        <f t="shared" si="39"/>
        <v>-3.4221038615179764E-2</v>
      </c>
      <c r="O56" s="14"/>
      <c r="P56" s="1">
        <f>SUM(OSRRefP22_10x_0)</f>
        <v>14506</v>
      </c>
      <c r="Q56" s="1"/>
      <c r="R56" s="5">
        <f t="shared" si="40"/>
        <v>0.2015251785608107</v>
      </c>
      <c r="S56" s="1"/>
      <c r="T56" s="1">
        <f>SUM(OSRRefT22_10x_0)</f>
        <v>15020</v>
      </c>
      <c r="U56" s="1"/>
      <c r="V56" s="5">
        <f t="shared" si="41"/>
        <v>2.6379339111497497</v>
      </c>
      <c r="W56" s="1"/>
      <c r="X56" s="1">
        <f t="shared" si="42"/>
        <v>-514</v>
      </c>
      <c r="Y56" s="1"/>
      <c r="Z56" s="5">
        <f t="shared" si="43"/>
        <v>-3.4221038615179764E-2</v>
      </c>
    </row>
    <row r="57" spans="1:26" s="24" customFormat="1" hidden="1" outlineLevel="2" x14ac:dyDescent="0.3">
      <c r="A57" s="27"/>
      <c r="B57" s="11" t="str">
        <f>CONCATENATE("          ", "6401", " - ", "INTEREST EXPENSE")</f>
        <v xml:space="preserve">          6401 - INTEREST EXPENSE</v>
      </c>
      <c r="C57" s="11"/>
      <c r="D57" s="7">
        <v>7253</v>
      </c>
      <c r="E57" s="2"/>
      <c r="F57" s="8">
        <f t="shared" si="36"/>
        <v>0.13873700548042733</v>
      </c>
      <c r="G57" s="2"/>
      <c r="H57" s="7">
        <v>7510</v>
      </c>
      <c r="I57" s="2"/>
      <c r="J57" s="8">
        <f t="shared" si="37"/>
        <v>1.5914590988654234</v>
      </c>
      <c r="K57" s="2"/>
      <c r="L57" s="7">
        <f t="shared" si="38"/>
        <v>-257</v>
      </c>
      <c r="M57" s="2"/>
      <c r="N57" s="8">
        <f t="shared" si="39"/>
        <v>-3.4221038615179764E-2</v>
      </c>
      <c r="O57" s="11"/>
      <c r="P57" s="7">
        <v>14506</v>
      </c>
      <c r="Q57" s="2"/>
      <c r="R57" s="8">
        <f t="shared" si="40"/>
        <v>0.2015251785608107</v>
      </c>
      <c r="S57" s="2"/>
      <c r="T57" s="7">
        <v>15020</v>
      </c>
      <c r="U57" s="2"/>
      <c r="V57" s="8">
        <f t="shared" si="41"/>
        <v>2.6379339111497497</v>
      </c>
      <c r="W57" s="2"/>
      <c r="X57" s="7">
        <f t="shared" si="42"/>
        <v>-514</v>
      </c>
      <c r="Y57" s="2"/>
      <c r="Z57" s="8">
        <f t="shared" si="43"/>
        <v>-3.4221038615179764E-2</v>
      </c>
    </row>
    <row r="58" spans="1:26" s="28" customFormat="1" outlineLevel="1" collapsed="1" x14ac:dyDescent="0.3">
      <c r="A58" s="29"/>
      <c r="B58" s="14" t="str">
        <f>CONCATENATE("     ","Rent                                              ")</f>
        <v xml:space="preserve">     Rent                                              </v>
      </c>
      <c r="C58" s="14"/>
      <c r="D58" s="1">
        <f>SUM(OSRRefD22_11x_0)</f>
        <v>1850</v>
      </c>
      <c r="E58" s="1"/>
      <c r="F58" s="5">
        <f t="shared" si="36"/>
        <v>3.5387213585935558E-2</v>
      </c>
      <c r="G58" s="1"/>
      <c r="H58" s="1">
        <f>SUM(OSRRefH22_11x_0)</f>
        <v>0</v>
      </c>
      <c r="I58" s="1"/>
      <c r="J58" s="5">
        <f t="shared" si="37"/>
        <v>0</v>
      </c>
      <c r="K58" s="1"/>
      <c r="L58" s="1">
        <f t="shared" si="38"/>
        <v>1850</v>
      </c>
      <c r="M58" s="1"/>
      <c r="N58" s="5">
        <f t="shared" si="39"/>
        <v>0</v>
      </c>
      <c r="O58" s="14"/>
      <c r="P58" s="1">
        <f>SUM(OSRRefP22_11x_0)</f>
        <v>3700</v>
      </c>
      <c r="Q58" s="1"/>
      <c r="R58" s="5">
        <f t="shared" si="40"/>
        <v>5.1402396296360099E-2</v>
      </c>
      <c r="S58" s="1"/>
      <c r="T58" s="1">
        <f>SUM(OSRRefT22_11x_0)</f>
        <v>0</v>
      </c>
      <c r="U58" s="1"/>
      <c r="V58" s="5">
        <f t="shared" si="41"/>
        <v>0</v>
      </c>
      <c r="W58" s="1"/>
      <c r="X58" s="1">
        <f t="shared" si="42"/>
        <v>3700</v>
      </c>
      <c r="Y58" s="1"/>
      <c r="Z58" s="5">
        <f t="shared" si="43"/>
        <v>0</v>
      </c>
    </row>
    <row r="59" spans="1:26" s="24" customFormat="1" hidden="1" outlineLevel="2" x14ac:dyDescent="0.3">
      <c r="A59" s="27"/>
      <c r="B59" s="11" t="str">
        <f>CONCATENATE("          ", "6273", " - ", "RENT")</f>
        <v xml:space="preserve">          6273 - RENT</v>
      </c>
      <c r="C59" s="11"/>
      <c r="D59" s="7">
        <v>1850</v>
      </c>
      <c r="E59" s="2"/>
      <c r="F59" s="8">
        <f t="shared" si="36"/>
        <v>3.5387213585935558E-2</v>
      </c>
      <c r="G59" s="2"/>
      <c r="H59" s="7"/>
      <c r="I59" s="2"/>
      <c r="J59" s="8">
        <f t="shared" si="37"/>
        <v>0</v>
      </c>
      <c r="K59" s="2"/>
      <c r="L59" s="7">
        <f t="shared" si="38"/>
        <v>1850</v>
      </c>
      <c r="M59" s="2"/>
      <c r="N59" s="8">
        <f t="shared" si="39"/>
        <v>0</v>
      </c>
      <c r="O59" s="11"/>
      <c r="P59" s="7">
        <v>3700</v>
      </c>
      <c r="Q59" s="2"/>
      <c r="R59" s="8">
        <f t="shared" si="40"/>
        <v>5.1402396296360099E-2</v>
      </c>
      <c r="S59" s="2"/>
      <c r="T59" s="7"/>
      <c r="U59" s="2"/>
      <c r="V59" s="8">
        <f t="shared" si="41"/>
        <v>0</v>
      </c>
      <c r="W59" s="2"/>
      <c r="X59" s="7">
        <f t="shared" si="42"/>
        <v>3700</v>
      </c>
      <c r="Y59" s="2"/>
      <c r="Z59" s="8">
        <f t="shared" si="43"/>
        <v>0</v>
      </c>
    </row>
    <row r="60" spans="1:26" s="28" customFormat="1" outlineLevel="1" collapsed="1" x14ac:dyDescent="0.3">
      <c r="A60" s="29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22493.54</v>
      </c>
      <c r="E60" s="1"/>
      <c r="F60" s="5">
        <f t="shared" si="36"/>
        <v>0.43026146177501884</v>
      </c>
      <c r="G60" s="1"/>
      <c r="H60" s="1">
        <f>SUM(OSRRefH22_12x_0)</f>
        <v>4288.76</v>
      </c>
      <c r="I60" s="1"/>
      <c r="J60" s="5">
        <f t="shared" si="37"/>
        <v>0.90883969705060896</v>
      </c>
      <c r="K60" s="1"/>
      <c r="L60" s="1">
        <f t="shared" si="38"/>
        <v>18204.78</v>
      </c>
      <c r="M60" s="1"/>
      <c r="N60" s="5">
        <f t="shared" si="39"/>
        <v>4.2447653867318289</v>
      </c>
      <c r="O60" s="14"/>
      <c r="P60" s="1">
        <f>SUM(OSRRefP22_12x_0)</f>
        <v>25625.25</v>
      </c>
      <c r="Q60" s="1"/>
      <c r="R60" s="5">
        <f t="shared" si="40"/>
        <v>0.35599979883602745</v>
      </c>
      <c r="S60" s="1"/>
      <c r="T60" s="1">
        <f>SUM(OSRRefT22_12x_0)</f>
        <v>8399.17</v>
      </c>
      <c r="U60" s="1"/>
      <c r="V60" s="5">
        <f t="shared" si="41"/>
        <v>1.4751301843216806</v>
      </c>
      <c r="W60" s="1"/>
      <c r="X60" s="1">
        <f t="shared" si="42"/>
        <v>17226.080000000002</v>
      </c>
      <c r="Y60" s="1"/>
      <c r="Z60" s="5">
        <f t="shared" si="43"/>
        <v>2.0509264605907491</v>
      </c>
    </row>
    <row r="61" spans="1:26" s="24" customFormat="1" hidden="1" outlineLevel="2" x14ac:dyDescent="0.3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7">
        <v>5177.72</v>
      </c>
      <c r="E61" s="2"/>
      <c r="F61" s="8">
        <f t="shared" si="36"/>
        <v>9.9040585690902835E-2</v>
      </c>
      <c r="G61" s="2"/>
      <c r="H61" s="7"/>
      <c r="I61" s="2"/>
      <c r="J61" s="8">
        <f t="shared" si="37"/>
        <v>0</v>
      </c>
      <c r="K61" s="2"/>
      <c r="L61" s="7">
        <f t="shared" si="38"/>
        <v>5177.72</v>
      </c>
      <c r="M61" s="2"/>
      <c r="N61" s="8">
        <f t="shared" si="39"/>
        <v>0</v>
      </c>
      <c r="O61" s="11"/>
      <c r="P61" s="7">
        <v>5177.72</v>
      </c>
      <c r="Q61" s="2"/>
      <c r="R61" s="8">
        <f t="shared" si="40"/>
        <v>7.1931679824753958E-2</v>
      </c>
      <c r="S61" s="2"/>
      <c r="T61" s="7"/>
      <c r="U61" s="2"/>
      <c r="V61" s="8">
        <f t="shared" si="41"/>
        <v>0</v>
      </c>
      <c r="W61" s="2"/>
      <c r="X61" s="7">
        <f t="shared" si="42"/>
        <v>5177.72</v>
      </c>
      <c r="Y61" s="2"/>
      <c r="Z61" s="8">
        <f t="shared" si="43"/>
        <v>0</v>
      </c>
    </row>
    <row r="62" spans="1:26" s="24" customFormat="1" hidden="1" outlineLevel="2" x14ac:dyDescent="0.3">
      <c r="A62" s="27"/>
      <c r="B62" s="11" t="str">
        <f>CONCATENATE("          ", "6373", " - ", "MAINTENANCE CONTRACTS")</f>
        <v xml:space="preserve">          6373 - MAINTENANCE CONTRACTS</v>
      </c>
      <c r="C62" s="11"/>
      <c r="D62" s="7"/>
      <c r="E62" s="2"/>
      <c r="F62" s="8">
        <f t="shared" si="36"/>
        <v>0</v>
      </c>
      <c r="G62" s="2"/>
      <c r="H62" s="7">
        <v>1687.36</v>
      </c>
      <c r="I62" s="2"/>
      <c r="J62" s="8">
        <f t="shared" si="37"/>
        <v>0.35757182757144612</v>
      </c>
      <c r="K62" s="2"/>
      <c r="L62" s="7">
        <f t="shared" si="38"/>
        <v>-1687.36</v>
      </c>
      <c r="M62" s="2"/>
      <c r="N62" s="8">
        <f t="shared" si="39"/>
        <v>-1</v>
      </c>
      <c r="O62" s="11"/>
      <c r="P62" s="7">
        <v>0.87</v>
      </c>
      <c r="Q62" s="2"/>
      <c r="R62" s="8">
        <f t="shared" si="40"/>
        <v>1.2086509399414402E-5</v>
      </c>
      <c r="S62" s="2"/>
      <c r="T62" s="7">
        <v>4040.95</v>
      </c>
      <c r="U62" s="2"/>
      <c r="V62" s="8">
        <f t="shared" si="41"/>
        <v>0.70970433011055789</v>
      </c>
      <c r="W62" s="2"/>
      <c r="X62" s="7">
        <f t="shared" si="42"/>
        <v>-4040.08</v>
      </c>
      <c r="Y62" s="2"/>
      <c r="Z62" s="8">
        <f t="shared" si="43"/>
        <v>-0.9997847040918596</v>
      </c>
    </row>
    <row r="63" spans="1:26" s="24" customFormat="1" hidden="1" outlineLevel="2" x14ac:dyDescent="0.3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7">
        <v>17315.82</v>
      </c>
      <c r="E63" s="2"/>
      <c r="F63" s="8">
        <f t="shared" si="36"/>
        <v>0.33122087608411599</v>
      </c>
      <c r="G63" s="2"/>
      <c r="H63" s="7">
        <v>2601.4</v>
      </c>
      <c r="I63" s="2"/>
      <c r="J63" s="8">
        <f t="shared" si="37"/>
        <v>0.55126786947916273</v>
      </c>
      <c r="K63" s="2"/>
      <c r="L63" s="7">
        <f t="shared" si="38"/>
        <v>14714.42</v>
      </c>
      <c r="M63" s="2"/>
      <c r="N63" s="8">
        <f t="shared" si="39"/>
        <v>5.6563465826093644</v>
      </c>
      <c r="O63" s="11"/>
      <c r="P63" s="7">
        <v>20446.66</v>
      </c>
      <c r="Q63" s="2"/>
      <c r="R63" s="8">
        <f t="shared" si="40"/>
        <v>0.28405603250187411</v>
      </c>
      <c r="S63" s="2"/>
      <c r="T63" s="7">
        <v>4358.22</v>
      </c>
      <c r="U63" s="2"/>
      <c r="V63" s="8">
        <f t="shared" si="41"/>
        <v>0.76542585421112264</v>
      </c>
      <c r="W63" s="2"/>
      <c r="X63" s="7">
        <f t="shared" si="42"/>
        <v>16088.439999999999</v>
      </c>
      <c r="Y63" s="2"/>
      <c r="Z63" s="8">
        <f t="shared" si="43"/>
        <v>3.6915162612259129</v>
      </c>
    </row>
    <row r="64" spans="1:26" s="28" customFormat="1" outlineLevel="1" collapsed="1" x14ac:dyDescent="0.3">
      <c r="A64" s="29"/>
      <c r="B64" s="14" t="str">
        <f>CONCATENATE("     ","Services                                          ")</f>
        <v xml:space="preserve">     Services                                          </v>
      </c>
      <c r="C64" s="14"/>
      <c r="D64" s="1">
        <f>SUM(OSRRefD22_13x_0)</f>
        <v>16013.769999999999</v>
      </c>
      <c r="E64" s="1"/>
      <c r="F64" s="5">
        <f t="shared" ref="F64:F68" si="44">IF(D$12=0,0,D64/D$12)</f>
        <v>0.30631497259786333</v>
      </c>
      <c r="G64" s="1"/>
      <c r="H64" s="1">
        <f>SUM(OSRRefH22_13x_0)</f>
        <v>4789.1799999999994</v>
      </c>
      <c r="I64" s="1"/>
      <c r="J64" s="5">
        <f t="shared" ref="J64:J68" si="45">IF(H$12=0,0,H64/H$12)</f>
        <v>1.0148846986823312</v>
      </c>
      <c r="K64" s="1"/>
      <c r="L64" s="1">
        <f t="shared" ref="L64:L68" si="46">+D64-H64</f>
        <v>11224.59</v>
      </c>
      <c r="M64" s="1"/>
      <c r="N64" s="5">
        <f t="shared" ref="N64:N68" si="47">IF(H64=0,0,L64/H64)</f>
        <v>2.3437394292968738</v>
      </c>
      <c r="O64" s="14"/>
      <c r="P64" s="1">
        <f>SUM(OSRRefP22_13x_0)</f>
        <v>20603</v>
      </c>
      <c r="Q64" s="1"/>
      <c r="R64" s="5">
        <f t="shared" ref="R64:R68" si="48">IF(P$12=0,0,P64/P$12)</f>
        <v>0.28622799213348843</v>
      </c>
      <c r="S64" s="1"/>
      <c r="T64" s="1">
        <f>SUM(OSRRefT22_13x_0)</f>
        <v>6396.38</v>
      </c>
      <c r="U64" s="1"/>
      <c r="V64" s="5">
        <f t="shared" ref="V64:V68" si="49">IF(T$12=0,0,T64/T$12)</f>
        <v>1.1233840020372861</v>
      </c>
      <c r="W64" s="1"/>
      <c r="X64" s="1">
        <f t="shared" ref="X64:X68" si="50">+P64-T64</f>
        <v>14206.619999999999</v>
      </c>
      <c r="Y64" s="1"/>
      <c r="Z64" s="5">
        <f t="shared" ref="Z64:Z68" si="51">IF(T64=0,0,X64/T64)</f>
        <v>2.2210406511182885</v>
      </c>
    </row>
    <row r="65" spans="1:26" s="24" customFormat="1" hidden="1" outlineLevel="2" x14ac:dyDescent="0.3">
      <c r="A65" s="27"/>
      <c r="B65" s="11" t="str">
        <f>CONCATENATE("          ", "6282", " - ", "JANITORIAL/EXTERMINATOR EXPENS")</f>
        <v xml:space="preserve">          6282 - JANITORIAL/EXTERMINATOR EXPENS</v>
      </c>
      <c r="C65" s="11"/>
      <c r="D65" s="7">
        <v>1021.65</v>
      </c>
      <c r="E65" s="2"/>
      <c r="F65" s="8">
        <f t="shared" si="44"/>
        <v>1.9542349600038412E-2</v>
      </c>
      <c r="G65" s="2"/>
      <c r="H65" s="7">
        <v>485.89</v>
      </c>
      <c r="I65" s="2"/>
      <c r="J65" s="8">
        <f t="shared" si="45"/>
        <v>0.10296592031261258</v>
      </c>
      <c r="K65" s="2"/>
      <c r="L65" s="7">
        <f t="shared" si="46"/>
        <v>535.76</v>
      </c>
      <c r="M65" s="2"/>
      <c r="N65" s="8">
        <f t="shared" si="47"/>
        <v>1.1026363991850008</v>
      </c>
      <c r="O65" s="11"/>
      <c r="P65" s="7">
        <v>1691.75</v>
      </c>
      <c r="Q65" s="2"/>
      <c r="R65" s="8">
        <f t="shared" si="48"/>
        <v>2.3502703766045189E-2</v>
      </c>
      <c r="S65" s="2"/>
      <c r="T65" s="7">
        <v>772.51</v>
      </c>
      <c r="U65" s="2"/>
      <c r="V65" s="8">
        <f t="shared" si="49"/>
        <v>0.13567445577245626</v>
      </c>
      <c r="W65" s="2"/>
      <c r="X65" s="7">
        <f t="shared" si="50"/>
        <v>919.24</v>
      </c>
      <c r="Y65" s="2"/>
      <c r="Z65" s="8">
        <f t="shared" si="51"/>
        <v>1.1899392888117954</v>
      </c>
    </row>
    <row r="66" spans="1:26" s="24" customFormat="1" hidden="1" outlineLevel="2" x14ac:dyDescent="0.3">
      <c r="A66" s="27"/>
      <c r="B66" s="11" t="str">
        <f>CONCATENATE("          ", "6284", " - ", "TRASH REMOVAL EXPENSE")</f>
        <v xml:space="preserve">          6284 - TRASH REMOVAL EXPENSE</v>
      </c>
      <c r="C66" s="11"/>
      <c r="D66" s="7"/>
      <c r="E66" s="2"/>
      <c r="F66" s="8">
        <f t="shared" si="44"/>
        <v>0</v>
      </c>
      <c r="G66" s="2"/>
      <c r="H66" s="7">
        <v>1000</v>
      </c>
      <c r="I66" s="2"/>
      <c r="J66" s="8">
        <f t="shared" si="45"/>
        <v>0.21191199718580869</v>
      </c>
      <c r="K66" s="2"/>
      <c r="L66" s="7">
        <f t="shared" si="46"/>
        <v>-1000</v>
      </c>
      <c r="M66" s="2"/>
      <c r="N66" s="8">
        <f t="shared" si="47"/>
        <v>-1</v>
      </c>
      <c r="O66" s="11"/>
      <c r="P66" s="7"/>
      <c r="Q66" s="2"/>
      <c r="R66" s="8">
        <f t="shared" si="48"/>
        <v>0</v>
      </c>
      <c r="S66" s="2"/>
      <c r="T66" s="7">
        <v>2000</v>
      </c>
      <c r="U66" s="2"/>
      <c r="V66" s="8">
        <f t="shared" si="49"/>
        <v>0.3512561799134154</v>
      </c>
      <c r="W66" s="2"/>
      <c r="X66" s="7">
        <f t="shared" si="50"/>
        <v>-2000</v>
      </c>
      <c r="Y66" s="2"/>
      <c r="Z66" s="8">
        <f t="shared" si="51"/>
        <v>-1</v>
      </c>
    </row>
    <row r="67" spans="1:26" s="24" customFormat="1" hidden="1" outlineLevel="2" x14ac:dyDescent="0.3">
      <c r="A67" s="27"/>
      <c r="B67" s="11" t="str">
        <f>CONCATENATE("          ", "6285", " - ", "JANITORIAL SERVICES")</f>
        <v xml:space="preserve">          6285 - JANITORIAL SERVICES</v>
      </c>
      <c r="C67" s="11"/>
      <c r="D67" s="7">
        <v>14832.38</v>
      </c>
      <c r="E67" s="2"/>
      <c r="F67" s="8">
        <f t="shared" si="44"/>
        <v>0.28371708056635608</v>
      </c>
      <c r="G67" s="2"/>
      <c r="H67" s="7">
        <v>3155.58</v>
      </c>
      <c r="I67" s="2"/>
      <c r="J67" s="8">
        <f t="shared" si="45"/>
        <v>0.66870526007959419</v>
      </c>
      <c r="K67" s="2"/>
      <c r="L67" s="7">
        <f t="shared" si="46"/>
        <v>11676.8</v>
      </c>
      <c r="M67" s="2"/>
      <c r="N67" s="8">
        <f t="shared" si="47"/>
        <v>3.700365701392454</v>
      </c>
      <c r="O67" s="11"/>
      <c r="P67" s="7">
        <v>18591.77</v>
      </c>
      <c r="Q67" s="2"/>
      <c r="R67" s="8">
        <f t="shared" si="48"/>
        <v>0.25828689983534564</v>
      </c>
      <c r="S67" s="2"/>
      <c r="T67" s="7">
        <v>3155.58</v>
      </c>
      <c r="U67" s="2"/>
      <c r="V67" s="8">
        <f t="shared" si="49"/>
        <v>0.55420848810558765</v>
      </c>
      <c r="W67" s="2"/>
      <c r="X67" s="7">
        <f t="shared" si="50"/>
        <v>15436.19</v>
      </c>
      <c r="Y67" s="2"/>
      <c r="Z67" s="8">
        <f t="shared" si="51"/>
        <v>4.8917124585654621</v>
      </c>
    </row>
    <row r="68" spans="1:26" s="24" customFormat="1" hidden="1" outlineLevel="2" x14ac:dyDescent="0.3">
      <c r="A68" s="27"/>
      <c r="B68" s="11" t="str">
        <f>CONCATENATE("          ", "6286", " - ", "LAUNDRY EXPENSE")</f>
        <v xml:space="preserve">          6286 - LAUNDRY EXPENSE</v>
      </c>
      <c r="C68" s="11"/>
      <c r="D68" s="7">
        <v>159.74</v>
      </c>
      <c r="E68" s="2"/>
      <c r="F68" s="8">
        <f t="shared" si="44"/>
        <v>3.0555424314688356E-3</v>
      </c>
      <c r="G68" s="2"/>
      <c r="H68" s="7">
        <v>147.71</v>
      </c>
      <c r="I68" s="2"/>
      <c r="J68" s="8">
        <f t="shared" si="45"/>
        <v>3.1301521104315805E-2</v>
      </c>
      <c r="K68" s="2"/>
      <c r="L68" s="7">
        <f t="shared" si="46"/>
        <v>12.030000000000001</v>
      </c>
      <c r="M68" s="2"/>
      <c r="N68" s="8">
        <f t="shared" si="47"/>
        <v>8.1443368763116919E-2</v>
      </c>
      <c r="O68" s="11"/>
      <c r="P68" s="7">
        <v>319.48</v>
      </c>
      <c r="Q68" s="2"/>
      <c r="R68" s="8">
        <f t="shared" si="48"/>
        <v>4.4383885320976009E-3</v>
      </c>
      <c r="S68" s="2"/>
      <c r="T68" s="7">
        <v>468.29</v>
      </c>
      <c r="U68" s="2"/>
      <c r="V68" s="8">
        <f t="shared" si="49"/>
        <v>8.2244878245826644E-2</v>
      </c>
      <c r="W68" s="2"/>
      <c r="X68" s="7">
        <f t="shared" si="50"/>
        <v>-148.81</v>
      </c>
      <c r="Y68" s="2"/>
      <c r="Z68" s="8">
        <f t="shared" si="51"/>
        <v>-0.31777317474214695</v>
      </c>
    </row>
    <row r="69" spans="1:26" s="28" customFormat="1" outlineLevel="1" collapsed="1" x14ac:dyDescent="0.3">
      <c r="A69" s="29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SUM(OSRRefD22_14x_0)</f>
        <v>593.59</v>
      </c>
      <c r="E69" s="1"/>
      <c r="F69" s="5">
        <f t="shared" ref="F69:F78" si="52">IF(D$12=0,0,D69/D$12)</f>
        <v>1.1354322222959724E-2</v>
      </c>
      <c r="G69" s="1"/>
      <c r="H69" s="1">
        <f>SUM(OSRRefH22_14x_0)</f>
        <v>0</v>
      </c>
      <c r="I69" s="1"/>
      <c r="J69" s="5">
        <f t="shared" ref="J69:J78" si="53">IF(H$12=0,0,H69/H$12)</f>
        <v>0</v>
      </c>
      <c r="K69" s="1"/>
      <c r="L69" s="1">
        <f t="shared" ref="L69:L78" si="54">+D69-H69</f>
        <v>593.59</v>
      </c>
      <c r="M69" s="1"/>
      <c r="N69" s="5">
        <f t="shared" ref="N69:N78" si="55">IF(H69=0,0,L69/H69)</f>
        <v>0</v>
      </c>
      <c r="O69" s="14"/>
      <c r="P69" s="1">
        <f>SUM(OSRRefP22_14x_0)</f>
        <v>724.26</v>
      </c>
      <c r="Q69" s="1"/>
      <c r="R69" s="5">
        <f t="shared" ref="R69:R78" si="56">IF(P$12=0,0,P69/P$12)</f>
        <v>1.0061810686919396E-2</v>
      </c>
      <c r="S69" s="1"/>
      <c r="T69" s="1">
        <f>SUM(OSRRefT22_14x_0)</f>
        <v>9.32</v>
      </c>
      <c r="U69" s="1"/>
      <c r="V69" s="5">
        <f t="shared" ref="V69:V78" si="57">IF(T$12=0,0,T69/T$12)</f>
        <v>1.6368537983965157E-3</v>
      </c>
      <c r="W69" s="1"/>
      <c r="X69" s="1">
        <f t="shared" ref="X69:X78" si="58">+P69-T69</f>
        <v>714.93999999999994</v>
      </c>
      <c r="Y69" s="1"/>
      <c r="Z69" s="5">
        <f t="shared" ref="Z69:Z78" si="59">IF(T69=0,0,X69/T69)</f>
        <v>76.710300429184542</v>
      </c>
    </row>
    <row r="70" spans="1:26" s="24" customFormat="1" hidden="1" outlineLevel="2" x14ac:dyDescent="0.3">
      <c r="A70" s="27"/>
      <c r="B70" s="11" t="str">
        <f>CONCATENATE("          ", "6275", " - ", "SUBSCRIPTIONS")</f>
        <v xml:space="preserve">          6275 - SUBSCRIPTIONS</v>
      </c>
      <c r="C70" s="11"/>
      <c r="D70" s="7">
        <v>593.59</v>
      </c>
      <c r="E70" s="2"/>
      <c r="F70" s="8">
        <f t="shared" si="52"/>
        <v>1.1354322222959724E-2</v>
      </c>
      <c r="G70" s="2"/>
      <c r="H70" s="7"/>
      <c r="I70" s="2"/>
      <c r="J70" s="8">
        <f t="shared" si="53"/>
        <v>0</v>
      </c>
      <c r="K70" s="2"/>
      <c r="L70" s="7">
        <f t="shared" si="54"/>
        <v>593.59</v>
      </c>
      <c r="M70" s="2"/>
      <c r="N70" s="8">
        <f t="shared" si="55"/>
        <v>0</v>
      </c>
      <c r="O70" s="11"/>
      <c r="P70" s="7">
        <v>724.26</v>
      </c>
      <c r="Q70" s="2"/>
      <c r="R70" s="8">
        <f t="shared" si="56"/>
        <v>1.0061810686919396E-2</v>
      </c>
      <c r="S70" s="2"/>
      <c r="T70" s="7">
        <v>9.32</v>
      </c>
      <c r="U70" s="2"/>
      <c r="V70" s="8">
        <f t="shared" si="57"/>
        <v>1.6368537983965157E-3</v>
      </c>
      <c r="W70" s="2"/>
      <c r="X70" s="7">
        <f t="shared" si="58"/>
        <v>714.93999999999994</v>
      </c>
      <c r="Y70" s="2"/>
      <c r="Z70" s="8">
        <f t="shared" si="59"/>
        <v>76.710300429184542</v>
      </c>
    </row>
    <row r="71" spans="1:26" s="28" customFormat="1" outlineLevel="1" collapsed="1" x14ac:dyDescent="0.3">
      <c r="A71" s="29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SUM(OSRRefD22_15x_0)</f>
        <v>3121.12</v>
      </c>
      <c r="E71" s="1"/>
      <c r="F71" s="5">
        <f t="shared" si="52"/>
        <v>5.9701481117478472E-2</v>
      </c>
      <c r="G71" s="1"/>
      <c r="H71" s="1">
        <f>SUM(OSRRefH22_15x_0)</f>
        <v>-28658.84</v>
      </c>
      <c r="I71" s="1"/>
      <c r="J71" s="5">
        <f t="shared" si="53"/>
        <v>-6.0731520214285419</v>
      </c>
      <c r="K71" s="1"/>
      <c r="L71" s="1">
        <f t="shared" si="54"/>
        <v>31779.96</v>
      </c>
      <c r="M71" s="1"/>
      <c r="N71" s="5">
        <f t="shared" si="55"/>
        <v>-1.1089060129439992</v>
      </c>
      <c r="O71" s="14"/>
      <c r="P71" s="1">
        <f>SUM(OSRRefP22_15x_0)</f>
        <v>4851.5300000000007</v>
      </c>
      <c r="Q71" s="1"/>
      <c r="R71" s="5">
        <f t="shared" si="56"/>
        <v>6.7400072352345936E-2</v>
      </c>
      <c r="S71" s="1"/>
      <c r="T71" s="1">
        <f>SUM(OSRRefT22_15x_0)</f>
        <v>-28172.7</v>
      </c>
      <c r="U71" s="1"/>
      <c r="V71" s="5">
        <f t="shared" si="57"/>
        <v>-4.9479174899233387</v>
      </c>
      <c r="W71" s="1"/>
      <c r="X71" s="1">
        <f t="shared" si="58"/>
        <v>33024.230000000003</v>
      </c>
      <c r="Y71" s="1"/>
      <c r="Z71" s="5">
        <f t="shared" si="59"/>
        <v>-1.1722067817426092</v>
      </c>
    </row>
    <row r="72" spans="1:26" s="24" customFormat="1" hidden="1" outlineLevel="2" x14ac:dyDescent="0.3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7"/>
      <c r="E72" s="2"/>
      <c r="F72" s="8">
        <f t="shared" si="52"/>
        <v>0</v>
      </c>
      <c r="G72" s="2"/>
      <c r="H72" s="7">
        <v>255.78</v>
      </c>
      <c r="I72" s="2"/>
      <c r="J72" s="8">
        <f t="shared" si="53"/>
        <v>5.4202850640186151E-2</v>
      </c>
      <c r="K72" s="2"/>
      <c r="L72" s="7">
        <f t="shared" si="54"/>
        <v>-255.78</v>
      </c>
      <c r="M72" s="2"/>
      <c r="N72" s="8">
        <f t="shared" si="55"/>
        <v>-1</v>
      </c>
      <c r="O72" s="11"/>
      <c r="P72" s="7"/>
      <c r="Q72" s="2"/>
      <c r="R72" s="8">
        <f t="shared" si="56"/>
        <v>0</v>
      </c>
      <c r="S72" s="2"/>
      <c r="T72" s="7">
        <v>255.78</v>
      </c>
      <c r="U72" s="2"/>
      <c r="V72" s="8">
        <f t="shared" si="57"/>
        <v>4.4922152849126692E-2</v>
      </c>
      <c r="W72" s="2"/>
      <c r="X72" s="7">
        <f t="shared" si="58"/>
        <v>-255.78</v>
      </c>
      <c r="Y72" s="2"/>
      <c r="Z72" s="8">
        <f t="shared" si="59"/>
        <v>-1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7"/>
      <c r="E73" s="2"/>
      <c r="F73" s="8">
        <f t="shared" si="52"/>
        <v>0</v>
      </c>
      <c r="G73" s="2"/>
      <c r="H73" s="7">
        <v>286.14999999999998</v>
      </c>
      <c r="I73" s="2"/>
      <c r="J73" s="8">
        <f t="shared" si="53"/>
        <v>6.0638617994719153E-2</v>
      </c>
      <c r="K73" s="2"/>
      <c r="L73" s="7">
        <f t="shared" si="54"/>
        <v>-286.14999999999998</v>
      </c>
      <c r="M73" s="2"/>
      <c r="N73" s="8">
        <f t="shared" si="55"/>
        <v>-1</v>
      </c>
      <c r="O73" s="11"/>
      <c r="P73" s="7"/>
      <c r="Q73" s="2"/>
      <c r="R73" s="8">
        <f t="shared" si="56"/>
        <v>0</v>
      </c>
      <c r="S73" s="2"/>
      <c r="T73" s="7">
        <v>821.97</v>
      </c>
      <c r="U73" s="2"/>
      <c r="V73" s="8">
        <f t="shared" si="57"/>
        <v>0.14436102110171503</v>
      </c>
      <c r="W73" s="2"/>
      <c r="X73" s="7">
        <f t="shared" si="58"/>
        <v>-821.97</v>
      </c>
      <c r="Y73" s="2"/>
      <c r="Z73" s="8">
        <f t="shared" si="59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7">
        <v>1045.24</v>
      </c>
      <c r="E74" s="2"/>
      <c r="F74" s="8">
        <f t="shared" si="52"/>
        <v>1.999358439381799E-2</v>
      </c>
      <c r="G74" s="2"/>
      <c r="H74" s="7"/>
      <c r="I74" s="2"/>
      <c r="J74" s="8">
        <f t="shared" si="53"/>
        <v>0</v>
      </c>
      <c r="K74" s="2"/>
      <c r="L74" s="7">
        <f t="shared" si="54"/>
        <v>1045.24</v>
      </c>
      <c r="M74" s="2"/>
      <c r="N74" s="8">
        <f t="shared" si="55"/>
        <v>0</v>
      </c>
      <c r="O74" s="11"/>
      <c r="P74" s="7">
        <v>2047.41</v>
      </c>
      <c r="Q74" s="2"/>
      <c r="R74" s="8">
        <f t="shared" si="56"/>
        <v>2.8443724378683956E-2</v>
      </c>
      <c r="S74" s="2"/>
      <c r="T74" s="7"/>
      <c r="U74" s="2"/>
      <c r="V74" s="8">
        <f t="shared" si="57"/>
        <v>0</v>
      </c>
      <c r="W74" s="2"/>
      <c r="X74" s="7">
        <f t="shared" si="58"/>
        <v>2047.41</v>
      </c>
      <c r="Y74" s="2"/>
      <c r="Z74" s="8">
        <f t="shared" si="59"/>
        <v>0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7">
        <v>218.6</v>
      </c>
      <c r="E75" s="2"/>
      <c r="F75" s="8">
        <f t="shared" si="52"/>
        <v>4.1814296702083848E-3</v>
      </c>
      <c r="G75" s="2"/>
      <c r="H75" s="7"/>
      <c r="I75" s="2"/>
      <c r="J75" s="8">
        <f t="shared" si="53"/>
        <v>0</v>
      </c>
      <c r="K75" s="2"/>
      <c r="L75" s="7">
        <f t="shared" si="54"/>
        <v>218.6</v>
      </c>
      <c r="M75" s="2"/>
      <c r="N75" s="8">
        <f t="shared" si="55"/>
        <v>0</v>
      </c>
      <c r="O75" s="11"/>
      <c r="P75" s="7">
        <v>250.63</v>
      </c>
      <c r="Q75" s="2"/>
      <c r="R75" s="8">
        <f t="shared" si="56"/>
        <v>3.4818871847991165E-3</v>
      </c>
      <c r="S75" s="2"/>
      <c r="T75" s="7"/>
      <c r="U75" s="2"/>
      <c r="V75" s="8">
        <f t="shared" si="57"/>
        <v>0</v>
      </c>
      <c r="W75" s="2"/>
      <c r="X75" s="7">
        <f t="shared" si="58"/>
        <v>250.63</v>
      </c>
      <c r="Y75" s="2"/>
      <c r="Z75" s="8">
        <f t="shared" si="59"/>
        <v>0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7">
        <v>1336.43</v>
      </c>
      <c r="E76" s="2"/>
      <c r="F76" s="8">
        <f t="shared" si="52"/>
        <v>2.5563531812244248E-2</v>
      </c>
      <c r="G76" s="2"/>
      <c r="H76" s="7">
        <v>-29200.77</v>
      </c>
      <c r="I76" s="2"/>
      <c r="J76" s="8">
        <f t="shared" si="53"/>
        <v>-6.1879934900634472</v>
      </c>
      <c r="K76" s="2"/>
      <c r="L76" s="7">
        <f t="shared" si="54"/>
        <v>30537.200000000001</v>
      </c>
      <c r="M76" s="2"/>
      <c r="N76" s="8">
        <f t="shared" si="55"/>
        <v>-1.0457669438168926</v>
      </c>
      <c r="O76" s="11"/>
      <c r="P76" s="7">
        <v>1867.26</v>
      </c>
      <c r="Q76" s="2"/>
      <c r="R76" s="8">
        <f t="shared" si="56"/>
        <v>2.59409833806328E-2</v>
      </c>
      <c r="S76" s="2"/>
      <c r="T76" s="7">
        <v>-29250.45</v>
      </c>
      <c r="U76" s="2"/>
      <c r="V76" s="8">
        <f t="shared" si="57"/>
        <v>-5.1372006638741805</v>
      </c>
      <c r="W76" s="2"/>
      <c r="X76" s="7">
        <f t="shared" si="58"/>
        <v>31117.71</v>
      </c>
      <c r="Y76" s="2"/>
      <c r="Z76" s="8">
        <f t="shared" si="59"/>
        <v>-1.0638369666107701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7">
        <v>320.85000000000002</v>
      </c>
      <c r="E77" s="2"/>
      <c r="F77" s="8">
        <f t="shared" si="52"/>
        <v>6.137290529214824E-3</v>
      </c>
      <c r="G77" s="2"/>
      <c r="H77" s="7"/>
      <c r="I77" s="2"/>
      <c r="J77" s="8">
        <f t="shared" si="53"/>
        <v>0</v>
      </c>
      <c r="K77" s="2"/>
      <c r="L77" s="7">
        <f t="shared" si="54"/>
        <v>320.85000000000002</v>
      </c>
      <c r="M77" s="2"/>
      <c r="N77" s="8">
        <f t="shared" si="55"/>
        <v>0</v>
      </c>
      <c r="O77" s="11"/>
      <c r="P77" s="7">
        <v>486.23</v>
      </c>
      <c r="Q77" s="2"/>
      <c r="R77" s="8">
        <f t="shared" si="56"/>
        <v>6.7549695003186949E-3</v>
      </c>
      <c r="S77" s="2"/>
      <c r="T77" s="7"/>
      <c r="U77" s="2"/>
      <c r="V77" s="8">
        <f t="shared" si="57"/>
        <v>0</v>
      </c>
      <c r="W77" s="2"/>
      <c r="X77" s="7">
        <f t="shared" si="58"/>
        <v>486.23</v>
      </c>
      <c r="Y77" s="2"/>
      <c r="Z77" s="8">
        <f t="shared" si="59"/>
        <v>0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7">
        <v>200</v>
      </c>
      <c r="E78" s="2"/>
      <c r="F78" s="8">
        <f t="shared" si="52"/>
        <v>3.8256447119930331E-3</v>
      </c>
      <c r="G78" s="2"/>
      <c r="H78" s="7"/>
      <c r="I78" s="2"/>
      <c r="J78" s="8">
        <f t="shared" si="53"/>
        <v>0</v>
      </c>
      <c r="K78" s="2"/>
      <c r="L78" s="7">
        <f t="shared" si="54"/>
        <v>200</v>
      </c>
      <c r="M78" s="2"/>
      <c r="N78" s="8">
        <f t="shared" si="55"/>
        <v>0</v>
      </c>
      <c r="O78" s="11"/>
      <c r="P78" s="7">
        <v>200</v>
      </c>
      <c r="Q78" s="2"/>
      <c r="R78" s="8">
        <f t="shared" si="56"/>
        <v>2.7785079079113567E-3</v>
      </c>
      <c r="S78" s="2"/>
      <c r="T78" s="7"/>
      <c r="U78" s="2"/>
      <c r="V78" s="8">
        <f t="shared" si="57"/>
        <v>0</v>
      </c>
      <c r="W78" s="2"/>
      <c r="X78" s="7">
        <f t="shared" si="58"/>
        <v>200</v>
      </c>
      <c r="Y78" s="2"/>
      <c r="Z78" s="8">
        <f t="shared" si="59"/>
        <v>0</v>
      </c>
    </row>
    <row r="79" spans="1:26" s="28" customFormat="1" outlineLevel="1" collapsed="1" x14ac:dyDescent="0.3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SUM(OSRRefD22_16x_0)</f>
        <v>721.95</v>
      </c>
      <c r="E79" s="1"/>
      <c r="F79" s="5">
        <f t="shared" ref="F79:F84" si="60">IF(D$12=0,0,D79/D$12)</f>
        <v>1.3809620999116852E-2</v>
      </c>
      <c r="G79" s="1"/>
      <c r="H79" s="1">
        <f>SUM(OSRRefH22_16x_0)</f>
        <v>1228.96</v>
      </c>
      <c r="I79" s="1"/>
      <c r="J79" s="5">
        <f t="shared" ref="J79:J84" si="61">IF(H$12=0,0,H79/H$12)</f>
        <v>0.26043136806147144</v>
      </c>
      <c r="K79" s="1"/>
      <c r="L79" s="1">
        <f t="shared" ref="L79:L84" si="62">+D79-H79</f>
        <v>-507.01</v>
      </c>
      <c r="M79" s="1"/>
      <c r="N79" s="5">
        <f t="shared" ref="N79:N84" si="63">IF(H79=0,0,L79/H79)</f>
        <v>-0.41255207655253218</v>
      </c>
      <c r="O79" s="14"/>
      <c r="P79" s="1">
        <f>SUM(OSRRefP22_16x_0)</f>
        <v>1245.5</v>
      </c>
      <c r="Q79" s="1"/>
      <c r="R79" s="5">
        <f t="shared" ref="R79:R84" si="64">IF(P$12=0,0,P79/P$12)</f>
        <v>1.7303157996517972E-2</v>
      </c>
      <c r="S79" s="1"/>
      <c r="T79" s="1">
        <f>SUM(OSRRefT22_16x_0)</f>
        <v>2432.7800000000002</v>
      </c>
      <c r="U79" s="1"/>
      <c r="V79" s="5">
        <f t="shared" ref="V79:V84" si="65">IF(T$12=0,0,T79/T$12)</f>
        <v>0.42726450468487936</v>
      </c>
      <c r="W79" s="1"/>
      <c r="X79" s="1">
        <f t="shared" ref="X79:X84" si="66">+P79-T79</f>
        <v>-1187.2800000000002</v>
      </c>
      <c r="Y79" s="1"/>
      <c r="Z79" s="5">
        <f t="shared" ref="Z79:Z84" si="67">IF(T79=0,0,X79/T79)</f>
        <v>-0.4880342653260879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7">
        <v>721.95</v>
      </c>
      <c r="E80" s="2"/>
      <c r="F80" s="8">
        <f t="shared" si="60"/>
        <v>1.3809620999116852E-2</v>
      </c>
      <c r="G80" s="2"/>
      <c r="H80" s="7">
        <v>1228.96</v>
      </c>
      <c r="I80" s="2"/>
      <c r="J80" s="8">
        <f t="shared" si="61"/>
        <v>0.26043136806147144</v>
      </c>
      <c r="K80" s="2"/>
      <c r="L80" s="7">
        <f t="shared" si="62"/>
        <v>-507.01</v>
      </c>
      <c r="M80" s="2"/>
      <c r="N80" s="8">
        <f t="shared" si="63"/>
        <v>-0.41255207655253218</v>
      </c>
      <c r="O80" s="11"/>
      <c r="P80" s="7">
        <v>1245.5</v>
      </c>
      <c r="Q80" s="2"/>
      <c r="R80" s="8">
        <f t="shared" si="64"/>
        <v>1.7303157996517972E-2</v>
      </c>
      <c r="S80" s="2"/>
      <c r="T80" s="7">
        <v>2432.7800000000002</v>
      </c>
      <c r="U80" s="2"/>
      <c r="V80" s="8">
        <f t="shared" si="65"/>
        <v>0.42726450468487936</v>
      </c>
      <c r="W80" s="2"/>
      <c r="X80" s="7">
        <f t="shared" si="66"/>
        <v>-1187.2800000000002</v>
      </c>
      <c r="Y80" s="2"/>
      <c r="Z80" s="8">
        <f t="shared" si="67"/>
        <v>-0.4880342653260879</v>
      </c>
    </row>
    <row r="81" spans="1:26" s="28" customFormat="1" outlineLevel="1" collapsed="1" x14ac:dyDescent="0.3">
      <c r="A81" s="29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SUM(OSRRefD22_17x_0)</f>
        <v>0</v>
      </c>
      <c r="E81" s="1"/>
      <c r="F81" s="5">
        <f t="shared" si="60"/>
        <v>0</v>
      </c>
      <c r="G81" s="1"/>
      <c r="H81" s="1">
        <f>SUM(OSRRefH22_17x_0)</f>
        <v>0</v>
      </c>
      <c r="I81" s="1"/>
      <c r="J81" s="5">
        <f t="shared" si="61"/>
        <v>0</v>
      </c>
      <c r="K81" s="1"/>
      <c r="L81" s="1">
        <f t="shared" si="62"/>
        <v>0</v>
      </c>
      <c r="M81" s="1"/>
      <c r="N81" s="5">
        <f t="shared" si="63"/>
        <v>0</v>
      </c>
      <c r="O81" s="14"/>
      <c r="P81" s="1">
        <f>SUM(OSRRefP22_17x_0)</f>
        <v>0</v>
      </c>
      <c r="Q81" s="1"/>
      <c r="R81" s="5">
        <f t="shared" si="64"/>
        <v>0</v>
      </c>
      <c r="S81" s="1"/>
      <c r="T81" s="1">
        <f>SUM(OSRRefT22_17x_0)</f>
        <v>179.69</v>
      </c>
      <c r="U81" s="1"/>
      <c r="V81" s="5">
        <f t="shared" si="65"/>
        <v>3.1558611484320806E-2</v>
      </c>
      <c r="W81" s="1"/>
      <c r="X81" s="1">
        <f t="shared" si="66"/>
        <v>-179.69</v>
      </c>
      <c r="Y81" s="1"/>
      <c r="Z81" s="5">
        <f t="shared" si="67"/>
        <v>-1</v>
      </c>
    </row>
    <row r="82" spans="1:26" s="24" customFormat="1" hidden="1" outlineLevel="2" x14ac:dyDescent="0.3">
      <c r="A82" s="27"/>
      <c r="B82" s="11" t="str">
        <f>CONCATENATE("          ", "6298", " - ", "VEHICLE MILEAGE")</f>
        <v xml:space="preserve">          6298 - VEHICLE MILEAGE</v>
      </c>
      <c r="C82" s="11"/>
      <c r="D82" s="7"/>
      <c r="E82" s="2"/>
      <c r="F82" s="8">
        <f t="shared" si="60"/>
        <v>0</v>
      </c>
      <c r="G82" s="2"/>
      <c r="H82" s="7"/>
      <c r="I82" s="2"/>
      <c r="J82" s="8">
        <f t="shared" si="61"/>
        <v>0</v>
      </c>
      <c r="K82" s="2"/>
      <c r="L82" s="7">
        <f t="shared" si="62"/>
        <v>0</v>
      </c>
      <c r="M82" s="2"/>
      <c r="N82" s="8">
        <f t="shared" si="63"/>
        <v>0</v>
      </c>
      <c r="O82" s="11"/>
      <c r="P82" s="7"/>
      <c r="Q82" s="2"/>
      <c r="R82" s="8">
        <f t="shared" si="64"/>
        <v>0</v>
      </c>
      <c r="S82" s="2"/>
      <c r="T82" s="7">
        <v>179.69</v>
      </c>
      <c r="U82" s="2"/>
      <c r="V82" s="8">
        <f t="shared" si="65"/>
        <v>3.1558611484320806E-2</v>
      </c>
      <c r="W82" s="2"/>
      <c r="X82" s="7">
        <f t="shared" si="66"/>
        <v>-179.69</v>
      </c>
      <c r="Y82" s="2"/>
      <c r="Z82" s="8">
        <f t="shared" si="67"/>
        <v>-1</v>
      </c>
    </row>
    <row r="83" spans="1:26" s="28" customFormat="1" outlineLevel="1" collapsed="1" x14ac:dyDescent="0.3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SUM(OSRRefD22_18x_0)</f>
        <v>8150</v>
      </c>
      <c r="E83" s="1"/>
      <c r="F83" s="5">
        <f t="shared" si="60"/>
        <v>0.15589502201371611</v>
      </c>
      <c r="G83" s="1"/>
      <c r="H83" s="1">
        <f>SUM(OSRRefH22_18x_0)</f>
        <v>2300</v>
      </c>
      <c r="I83" s="1"/>
      <c r="J83" s="5">
        <f t="shared" si="61"/>
        <v>0.48739759352736001</v>
      </c>
      <c r="K83" s="1"/>
      <c r="L83" s="1">
        <f t="shared" si="62"/>
        <v>5850</v>
      </c>
      <c r="M83" s="1"/>
      <c r="N83" s="5">
        <f t="shared" si="63"/>
        <v>2.5434782608695654</v>
      </c>
      <c r="O83" s="14"/>
      <c r="P83" s="1">
        <f>SUM(OSRRefP22_18x_0)</f>
        <v>16300</v>
      </c>
      <c r="Q83" s="1"/>
      <c r="R83" s="5">
        <f t="shared" si="64"/>
        <v>0.22644839449477558</v>
      </c>
      <c r="S83" s="1"/>
      <c r="T83" s="1">
        <f>SUM(OSRRefT22_18x_0)</f>
        <v>4600</v>
      </c>
      <c r="U83" s="1"/>
      <c r="V83" s="5">
        <f t="shared" si="65"/>
        <v>0.80788921380085543</v>
      </c>
      <c r="W83" s="1"/>
      <c r="X83" s="1">
        <f t="shared" si="66"/>
        <v>11700</v>
      </c>
      <c r="Y83" s="1"/>
      <c r="Z83" s="5">
        <f t="shared" si="67"/>
        <v>2.5434782608695654</v>
      </c>
    </row>
    <row r="84" spans="1:26" s="24" customFormat="1" hidden="1" outlineLevel="2" x14ac:dyDescent="0.3">
      <c r="A84" s="27"/>
      <c r="B84" s="11" t="str">
        <f>CONCATENATE("          ", "6274", " - ", "UTILITIES")</f>
        <v xml:space="preserve">          6274 - UTILITIES</v>
      </c>
      <c r="C84" s="11"/>
      <c r="D84" s="7">
        <v>8150</v>
      </c>
      <c r="E84" s="2"/>
      <c r="F84" s="8">
        <f t="shared" si="60"/>
        <v>0.15589502201371611</v>
      </c>
      <c r="G84" s="2"/>
      <c r="H84" s="7">
        <v>2300</v>
      </c>
      <c r="I84" s="2"/>
      <c r="J84" s="8">
        <f t="shared" si="61"/>
        <v>0.48739759352736001</v>
      </c>
      <c r="K84" s="2"/>
      <c r="L84" s="7">
        <f t="shared" si="62"/>
        <v>5850</v>
      </c>
      <c r="M84" s="2"/>
      <c r="N84" s="8">
        <f t="shared" si="63"/>
        <v>2.5434782608695654</v>
      </c>
      <c r="O84" s="11"/>
      <c r="P84" s="7">
        <v>16300</v>
      </c>
      <c r="Q84" s="2"/>
      <c r="R84" s="8">
        <f t="shared" si="64"/>
        <v>0.22644839449477558</v>
      </c>
      <c r="S84" s="2"/>
      <c r="T84" s="7">
        <v>4600</v>
      </c>
      <c r="U84" s="2"/>
      <c r="V84" s="8">
        <f t="shared" si="65"/>
        <v>0.80788921380085543</v>
      </c>
      <c r="W84" s="2"/>
      <c r="X84" s="7">
        <f t="shared" si="66"/>
        <v>11700</v>
      </c>
      <c r="Y84" s="2"/>
      <c r="Z84" s="8">
        <f t="shared" si="67"/>
        <v>2.5434782608695654</v>
      </c>
    </row>
    <row r="85" spans="1:26" s="61" customFormat="1" x14ac:dyDescent="0.3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3">
      <c r="A86" s="10"/>
      <c r="B86" s="26" t="s">
        <v>292</v>
      </c>
      <c r="C86" s="10"/>
      <c r="D86" s="4">
        <f>SUM(OSRRefD25x_0)</f>
        <v>11546.83</v>
      </c>
      <c r="E86" s="4"/>
      <c r="F86" s="12">
        <f t="shared" ref="F86:F89" si="68">IF(D$12=0,0,D86/D$12)</f>
        <v>0.22087034564891256</v>
      </c>
      <c r="G86" s="4"/>
      <c r="H86" s="4">
        <f>SUM(OSRRefH25x_0)</f>
        <v>737.84999999999991</v>
      </c>
      <c r="I86" s="4"/>
      <c r="J86" s="12">
        <f t="shared" ref="J86:J89" si="69">IF(H$12=0,0,H86/H$12)</f>
        <v>0.15635926712354892</v>
      </c>
      <c r="K86" s="4"/>
      <c r="L86" s="4">
        <f t="shared" ref="L86:L89" si="70">+D86-H86</f>
        <v>10808.98</v>
      </c>
      <c r="M86" s="4"/>
      <c r="N86" s="12">
        <f t="shared" ref="N86:N89" si="71">IF(H86=0,0,L86/H86)</f>
        <v>14.649291861489464</v>
      </c>
      <c r="O86" s="10"/>
      <c r="P86" s="4">
        <f>SUM(OSRRefP25x_0)</f>
        <v>14202.250000000002</v>
      </c>
      <c r="Q86" s="4"/>
      <c r="R86" s="12">
        <f t="shared" ref="R86:R89" si="72">IF(P$12=0,0,P86/P$12)</f>
        <v>0.19730531967567036</v>
      </c>
      <c r="S86" s="4"/>
      <c r="T86" s="4">
        <f>SUM(OSRRefT25x_0)</f>
        <v>2814.39</v>
      </c>
      <c r="U86" s="4"/>
      <c r="V86" s="12">
        <f t="shared" ref="V86:V89" si="73">IF(T$12=0,0,T86/T$12)</f>
        <v>0.49428594009325855</v>
      </c>
      <c r="W86" s="4"/>
      <c r="X86" s="4">
        <f t="shared" ref="X86:X89" si="74">+P86-T86</f>
        <v>11387.860000000002</v>
      </c>
      <c r="Y86" s="4"/>
      <c r="Z86" s="12">
        <f t="shared" ref="Z86:Z89" si="75">IF(T86=0,0,X86/T86)</f>
        <v>4.0462977767828923</v>
      </c>
    </row>
    <row r="87" spans="1:26" s="24" customFormat="1" hidden="1" outlineLevel="1" x14ac:dyDescent="0.3">
      <c r="A87" s="44"/>
      <c r="B87" s="11" t="str">
        <f>CONCATENATE("          ", "9150", " - ", "MISC. INCOME")</f>
        <v xml:space="preserve">          9150 - MISC. INCOME</v>
      </c>
      <c r="C87" s="11"/>
      <c r="D87" s="2">
        <f>--1041.32</f>
        <v>1041.32</v>
      </c>
      <c r="E87" s="2"/>
      <c r="F87" s="19">
        <f t="shared" si="68"/>
        <v>1.9918601757462923E-2</v>
      </c>
      <c r="G87" s="2"/>
      <c r="H87" s="2">
        <f>--111.42</f>
        <v>111.42</v>
      </c>
      <c r="I87" s="2"/>
      <c r="J87" s="19">
        <f t="shared" si="69"/>
        <v>2.3611234726442804E-2</v>
      </c>
      <c r="K87" s="2"/>
      <c r="L87" s="2">
        <f t="shared" si="70"/>
        <v>929.9</v>
      </c>
      <c r="M87" s="2"/>
      <c r="N87" s="19">
        <f t="shared" si="71"/>
        <v>8.3458984024412128</v>
      </c>
      <c r="O87" s="11"/>
      <c r="P87" s="2">
        <f>--2458.62</f>
        <v>2458.62</v>
      </c>
      <c r="Q87" s="2"/>
      <c r="R87" s="19">
        <f t="shared" si="72"/>
        <v>3.4156475562745099E-2</v>
      </c>
      <c r="S87" s="2"/>
      <c r="T87" s="2">
        <f>--623.83</f>
        <v>623.83000000000004</v>
      </c>
      <c r="U87" s="2"/>
      <c r="V87" s="19">
        <f t="shared" si="73"/>
        <v>0.10956207135769297</v>
      </c>
      <c r="W87" s="2"/>
      <c r="X87" s="2">
        <f t="shared" si="74"/>
        <v>1834.79</v>
      </c>
      <c r="Y87" s="2"/>
      <c r="Z87" s="19">
        <f t="shared" si="75"/>
        <v>2.9411698699966333</v>
      </c>
    </row>
    <row r="88" spans="1:26" s="24" customFormat="1" hidden="1" outlineLevel="1" x14ac:dyDescent="0.3">
      <c r="A88" s="44"/>
      <c r="B88" s="11" t="str">
        <f>CONCATENATE("          ", "9160", " - ", "MISC. INCOME")</f>
        <v xml:space="preserve">          9160 - MISC. INCOME</v>
      </c>
      <c r="C88" s="11"/>
      <c r="D88" s="2">
        <f>--10000</f>
        <v>10000</v>
      </c>
      <c r="E88" s="2"/>
      <c r="F88" s="19">
        <f t="shared" si="68"/>
        <v>0.19128223559965166</v>
      </c>
      <c r="G88" s="2"/>
      <c r="H88" s="2">
        <f>--626.43</f>
        <v>626.42999999999995</v>
      </c>
      <c r="I88" s="2"/>
      <c r="J88" s="19">
        <f t="shared" si="69"/>
        <v>0.13274803239710614</v>
      </c>
      <c r="K88" s="2"/>
      <c r="L88" s="2">
        <f t="shared" si="70"/>
        <v>9373.57</v>
      </c>
      <c r="M88" s="2"/>
      <c r="N88" s="19">
        <f t="shared" si="71"/>
        <v>14.963475567900645</v>
      </c>
      <c r="O88" s="11"/>
      <c r="P88" s="2">
        <f>--11238.12</f>
        <v>11238.12</v>
      </c>
      <c r="Q88" s="2"/>
      <c r="R88" s="19">
        <f t="shared" si="72"/>
        <v>0.15612602645028389</v>
      </c>
      <c r="S88" s="2"/>
      <c r="T88" s="2">
        <f>--1990.06</f>
        <v>1990.06</v>
      </c>
      <c r="U88" s="2"/>
      <c r="V88" s="19">
        <f t="shared" si="73"/>
        <v>0.3495104366992457</v>
      </c>
      <c r="W88" s="2"/>
      <c r="X88" s="2">
        <f t="shared" si="74"/>
        <v>9248.0600000000013</v>
      </c>
      <c r="Y88" s="2"/>
      <c r="Z88" s="19">
        <f t="shared" si="75"/>
        <v>4.6471262172999817</v>
      </c>
    </row>
    <row r="89" spans="1:26" s="24" customFormat="1" hidden="1" outlineLevel="1" x14ac:dyDescent="0.3">
      <c r="A89" s="44"/>
      <c r="B89" s="11" t="str">
        <f>CONCATENATE("          ", "9165", " - ", "OTHER INCOME")</f>
        <v xml:space="preserve">          9165 - OTHER INCOME</v>
      </c>
      <c r="C89" s="11"/>
      <c r="D89" s="2">
        <f>--505.51</f>
        <v>505.51</v>
      </c>
      <c r="E89" s="2"/>
      <c r="F89" s="19">
        <f t="shared" si="68"/>
        <v>9.6695082917979906E-3</v>
      </c>
      <c r="G89" s="2"/>
      <c r="H89" s="2">
        <f>0</f>
        <v>0</v>
      </c>
      <c r="I89" s="2"/>
      <c r="J89" s="19">
        <f t="shared" si="69"/>
        <v>0</v>
      </c>
      <c r="K89" s="2"/>
      <c r="L89" s="2">
        <f t="shared" si="70"/>
        <v>505.51</v>
      </c>
      <c r="M89" s="2"/>
      <c r="N89" s="19">
        <f t="shared" si="71"/>
        <v>0</v>
      </c>
      <c r="O89" s="11"/>
      <c r="P89" s="2">
        <f>--505.51</f>
        <v>505.51</v>
      </c>
      <c r="Q89" s="2"/>
      <c r="R89" s="19">
        <f t="shared" si="72"/>
        <v>7.0228176626413496E-3</v>
      </c>
      <c r="S89" s="2"/>
      <c r="T89" s="2">
        <f>--200.5</f>
        <v>200.5</v>
      </c>
      <c r="U89" s="2"/>
      <c r="V89" s="19">
        <f t="shared" si="73"/>
        <v>3.5213432036319894E-2</v>
      </c>
      <c r="W89" s="2"/>
      <c r="X89" s="2">
        <f t="shared" si="74"/>
        <v>305.01</v>
      </c>
      <c r="Y89" s="2"/>
      <c r="Z89" s="19">
        <f t="shared" si="75"/>
        <v>1.5212468827930175</v>
      </c>
    </row>
    <row r="90" spans="1:26" x14ac:dyDescent="0.3">
      <c r="A90" s="9"/>
      <c r="B90" s="10"/>
      <c r="C90" s="10"/>
      <c r="D90" s="3"/>
      <c r="E90" s="3"/>
      <c r="F90" s="6"/>
      <c r="G90" s="3"/>
      <c r="H90" s="3"/>
      <c r="I90" s="3"/>
      <c r="J90" s="6"/>
      <c r="K90" s="3"/>
      <c r="L90" s="3"/>
      <c r="M90" s="3"/>
      <c r="N90" s="6"/>
      <c r="O90" s="10"/>
      <c r="P90" s="3"/>
      <c r="Q90" s="3"/>
      <c r="R90" s="6"/>
      <c r="S90" s="3"/>
      <c r="T90" s="3"/>
      <c r="U90" s="3"/>
      <c r="V90" s="6"/>
      <c r="W90" s="3"/>
      <c r="X90" s="3"/>
      <c r="Y90" s="3"/>
      <c r="Z90" s="6"/>
    </row>
    <row r="91" spans="1:26" s="23" customFormat="1" x14ac:dyDescent="0.3">
      <c r="A91" s="10"/>
      <c r="B91" s="25" t="s">
        <v>276</v>
      </c>
      <c r="C91" s="25"/>
      <c r="D91" s="20">
        <f>+D21-D23+D86</f>
        <v>-151630.51</v>
      </c>
      <c r="E91" s="13"/>
      <c r="F91" s="22">
        <f>IF(D$12=0,0,D91/D$12)</f>
        <v>-2.9004222937915336</v>
      </c>
      <c r="G91" s="13"/>
      <c r="H91" s="20">
        <f>+H21-H23+H86</f>
        <v>-83625.709999999992</v>
      </c>
      <c r="I91" s="13"/>
      <c r="J91" s="22">
        <f>IF(H$12=0,0,H91/H$12)</f>
        <v>-17.721291222181254</v>
      </c>
      <c r="K91" s="15"/>
      <c r="L91" s="20">
        <f>+D91-H91</f>
        <v>-68004.800000000017</v>
      </c>
      <c r="M91" s="15"/>
      <c r="N91" s="22">
        <f>IF(H91=0,0,L91/H91)</f>
        <v>0.81320445590237767</v>
      </c>
      <c r="O91" s="26"/>
      <c r="P91" s="20">
        <f>+P21-P23+P86</f>
        <v>-280183.28999999992</v>
      </c>
      <c r="Q91" s="13"/>
      <c r="R91" s="22">
        <f>IF(P$12=0,0,P91/P$12)</f>
        <v>-3.8924574346481036</v>
      </c>
      <c r="S91" s="13"/>
      <c r="T91" s="20">
        <f>+T21-T23+T86</f>
        <v>-207699.41</v>
      </c>
      <c r="U91" s="13"/>
      <c r="V91" s="22">
        <f>IF(T$12=0,0,T91/T$12)</f>
        <v>-36.477850663435113</v>
      </c>
      <c r="W91" s="15"/>
      <c r="X91" s="20">
        <f>+P91-T91</f>
        <v>-72483.879999999917</v>
      </c>
      <c r="Y91" s="15"/>
      <c r="Z91" s="22">
        <f>IF(T91=0,0,X91/T91)</f>
        <v>0.34898452528102952</v>
      </c>
    </row>
    <row r="92" spans="1:26" x14ac:dyDescent="0.3">
      <c r="A92" s="9"/>
      <c r="B92" s="10"/>
      <c r="C92" s="9"/>
      <c r="D92" s="3"/>
      <c r="E92" s="3"/>
      <c r="F92" s="6"/>
      <c r="G92" s="3"/>
      <c r="H92" s="3"/>
      <c r="I92" s="3"/>
      <c r="J92" s="6"/>
      <c r="K92" s="3"/>
      <c r="L92" s="3"/>
      <c r="M92" s="3"/>
      <c r="N92" s="6"/>
      <c r="P92" s="3"/>
      <c r="Q92" s="3"/>
      <c r="R92" s="6"/>
      <c r="S92" s="3"/>
      <c r="T92" s="3"/>
      <c r="U92" s="3"/>
      <c r="V92" s="6"/>
      <c r="W92" s="3"/>
      <c r="X92" s="3"/>
      <c r="Y92" s="3"/>
      <c r="Z92" s="6"/>
    </row>
    <row r="93" spans="1:26" s="23" customFormat="1" x14ac:dyDescent="0.3">
      <c r="A93" s="51"/>
      <c r="B93" s="10" t="s">
        <v>127</v>
      </c>
      <c r="C93" s="10"/>
      <c r="D93" s="4">
        <v>1653.96</v>
      </c>
      <c r="E93" s="4"/>
      <c r="F93" s="12">
        <f>IF(D$12=0,0,D93/D$12)</f>
        <v>3.1637316639239986E-2</v>
      </c>
      <c r="G93" s="4"/>
      <c r="H93" s="4">
        <v>492.45</v>
      </c>
      <c r="I93" s="4"/>
      <c r="J93" s="12">
        <f>IF(H$12=0,0,H93/H$12)</f>
        <v>0.10435606301415148</v>
      </c>
      <c r="K93" s="4"/>
      <c r="L93" s="4">
        <f>+D93-H93</f>
        <v>1161.51</v>
      </c>
      <c r="M93" s="4"/>
      <c r="N93" s="12">
        <f>IF(H93=0,0,L93/H93)</f>
        <v>2.3586353944562899</v>
      </c>
      <c r="O93" s="10"/>
      <c r="P93" s="4">
        <v>10756.35</v>
      </c>
      <c r="Q93" s="4"/>
      <c r="R93" s="12">
        <f>IF(P$12=0,0,P93/P$12)</f>
        <v>0.14943301767631162</v>
      </c>
      <c r="S93" s="4"/>
      <c r="T93" s="4">
        <v>961.33</v>
      </c>
      <c r="U93" s="4"/>
      <c r="V93" s="12">
        <f>IF(T$12=0,0,T93/T$12)</f>
        <v>0.16883655171808182</v>
      </c>
      <c r="W93" s="4"/>
      <c r="X93" s="4">
        <f>+P93-T93</f>
        <v>9795.02</v>
      </c>
      <c r="Y93" s="4"/>
      <c r="Z93" s="12">
        <f>IF(T93=0,0,X93/T93)</f>
        <v>10.189029781656663</v>
      </c>
    </row>
    <row r="94" spans="1:26" x14ac:dyDescent="0.3">
      <c r="A94" s="9"/>
      <c r="B94" s="10"/>
      <c r="C94" s="10"/>
      <c r="D94" s="3"/>
      <c r="E94" s="3"/>
      <c r="F94" s="6"/>
      <c r="G94" s="3"/>
      <c r="H94" s="3"/>
      <c r="I94" s="3"/>
      <c r="J94" s="6"/>
      <c r="K94" s="3"/>
      <c r="L94" s="3"/>
      <c r="M94" s="3"/>
      <c r="N94" s="6"/>
      <c r="O94" s="10"/>
      <c r="P94" s="3"/>
      <c r="Q94" s="3"/>
      <c r="R94" s="6"/>
      <c r="S94" s="3"/>
      <c r="T94" s="3"/>
      <c r="U94" s="3"/>
      <c r="V94" s="6"/>
      <c r="W94" s="3"/>
      <c r="X94" s="3"/>
      <c r="Y94" s="3"/>
      <c r="Z94" s="6"/>
    </row>
    <row r="95" spans="1:26" s="23" customFormat="1" ht="15" thickBot="1" x14ac:dyDescent="0.35">
      <c r="A95" s="10"/>
      <c r="B95" s="25" t="s">
        <v>125</v>
      </c>
      <c r="C95" s="25"/>
      <c r="D95" s="33">
        <f>+D91-D93</f>
        <v>-153284.47</v>
      </c>
      <c r="E95" s="13"/>
      <c r="F95" s="36">
        <f>IF(D$12=0,0,D95/D$12)</f>
        <v>-2.9320596104307737</v>
      </c>
      <c r="G95" s="13"/>
      <c r="H95" s="33">
        <f>+H91-H93</f>
        <v>-84118.159999999989</v>
      </c>
      <c r="I95" s="13"/>
      <c r="J95" s="36">
        <f>IF(H$12=0,0,H95/H$12)</f>
        <v>-17.825647285195402</v>
      </c>
      <c r="K95" s="15"/>
      <c r="L95" s="33">
        <f>D95-H95</f>
        <v>-69166.310000000012</v>
      </c>
      <c r="M95" s="15"/>
      <c r="N95" s="36">
        <f>IF(H95=0,0,L95/H95)</f>
        <v>0.82225181815674553</v>
      </c>
      <c r="O95" s="26"/>
      <c r="P95" s="33">
        <f>+P91-P93</f>
        <v>-290939.6399999999</v>
      </c>
      <c r="Q95" s="13"/>
      <c r="R95" s="36">
        <f>IF(P$12=0,0,P95/P$12)</f>
        <v>-4.0418904523244148</v>
      </c>
      <c r="S95" s="13"/>
      <c r="T95" s="33">
        <f>+T91-T93</f>
        <v>-208660.74</v>
      </c>
      <c r="U95" s="13"/>
      <c r="V95" s="36">
        <f>IF(T$12=0,0,T95/T$12)</f>
        <v>-36.646687215153193</v>
      </c>
      <c r="W95" s="15"/>
      <c r="X95" s="33">
        <f>P95-T95</f>
        <v>-82278.899999999907</v>
      </c>
      <c r="Y95" s="15"/>
      <c r="Z95" s="36">
        <f>IF(T95=0,0,X95/T95)</f>
        <v>0.39431902714425299</v>
      </c>
    </row>
    <row r="96" spans="1:26" ht="15" thickTop="1" x14ac:dyDescent="0.3">
      <c r="A96" s="9"/>
      <c r="B96" s="9"/>
      <c r="C96" s="9"/>
      <c r="D96" s="3"/>
      <c r="E96" s="3"/>
      <c r="F96" s="6"/>
      <c r="G96" s="3"/>
      <c r="H96" s="3"/>
      <c r="I96" s="3"/>
      <c r="J96" s="6"/>
      <c r="K96" s="3"/>
      <c r="L96" s="3"/>
      <c r="M96" s="3"/>
      <c r="N96" s="6"/>
      <c r="P96" s="3"/>
      <c r="Q96" s="3"/>
      <c r="R96" s="6"/>
      <c r="S96" s="3"/>
      <c r="T96" s="3"/>
      <c r="U96" s="3"/>
      <c r="V96" s="6"/>
      <c r="W96" s="3"/>
      <c r="X96" s="3"/>
      <c r="Y96" s="3"/>
      <c r="Z96" s="6"/>
    </row>
    <row r="97" spans="1:26" x14ac:dyDescent="0.3">
      <c r="A97" s="9"/>
      <c r="B97" s="9"/>
      <c r="C97" s="9"/>
      <c r="D97" s="3"/>
      <c r="E97" s="3"/>
      <c r="F97" s="6"/>
      <c r="G97" s="3"/>
      <c r="H97" s="3"/>
      <c r="I97" s="3"/>
      <c r="J97" s="6"/>
      <c r="K97" s="3"/>
      <c r="L97" s="3"/>
      <c r="M97" s="3"/>
      <c r="N97" s="6"/>
      <c r="P97" s="3"/>
      <c r="Q97" s="3"/>
      <c r="R97" s="6"/>
      <c r="S97" s="3"/>
      <c r="T97" s="3"/>
      <c r="U97" s="3"/>
      <c r="V97" s="6"/>
      <c r="W97" s="3"/>
      <c r="X97" s="3"/>
      <c r="Y97" s="3"/>
      <c r="Z97" s="6"/>
    </row>
    <row r="98" spans="1:26" s="23" customFormat="1" ht="15" thickBot="1" x14ac:dyDescent="0.35">
      <c r="A98" s="10"/>
      <c r="B98" s="25" t="s">
        <v>293</v>
      </c>
      <c r="C98" s="25"/>
      <c r="D98" s="30">
        <f>SUM(D95:D97)</f>
        <v>-153284.47</v>
      </c>
      <c r="E98" s="13"/>
      <c r="F98" s="31">
        <f>IF(D$12=0,0,D98/D$12)</f>
        <v>-2.9320596104307737</v>
      </c>
      <c r="G98" s="13"/>
      <c r="H98" s="30">
        <f>SUM(H95:H97)</f>
        <v>-84118.159999999989</v>
      </c>
      <c r="I98" s="13"/>
      <c r="J98" s="31">
        <f>IF(H$12=0,0,H98/H$12)</f>
        <v>-17.825647285195402</v>
      </c>
      <c r="K98" s="15"/>
      <c r="L98" s="30">
        <f>+D98-H98</f>
        <v>-69166.310000000012</v>
      </c>
      <c r="M98" s="15"/>
      <c r="N98" s="31">
        <f>IF(H98=0,0,L98/H98)</f>
        <v>0.82225181815674553</v>
      </c>
      <c r="O98" s="26"/>
      <c r="P98" s="30">
        <f>SUM(P95:P97)</f>
        <v>-290939.6399999999</v>
      </c>
      <c r="Q98" s="13"/>
      <c r="R98" s="31">
        <f>IF(P$12=0,0,P98/P$12)</f>
        <v>-4.0418904523244148</v>
      </c>
      <c r="S98" s="13"/>
      <c r="T98" s="30">
        <f>SUM(T95:T97)</f>
        <v>-208660.74</v>
      </c>
      <c r="U98" s="13"/>
      <c r="V98" s="31">
        <f>IF(T$12=0,0,T98/T$12)</f>
        <v>-36.646687215153193</v>
      </c>
      <c r="W98" s="15"/>
      <c r="X98" s="30">
        <f>+P98-T98</f>
        <v>-82278.899999999907</v>
      </c>
      <c r="Y98" s="15"/>
      <c r="Z98" s="31">
        <f>IF(T98=0,0,X98/T98)</f>
        <v>0.39431902714425299</v>
      </c>
    </row>
    <row r="99" spans="1:26" ht="15" thickTop="1" x14ac:dyDescent="0.3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3">
      <c r="A100" s="9"/>
      <c r="B100" s="59">
        <v>44470.840523032406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3">
      <c r="A101" s="9"/>
      <c r="B101" s="58" t="s">
        <v>56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3">
      <c r="A102" s="9"/>
      <c r="B102" s="52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3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","405", " - ", "Caffeine Lab")</f>
        <v>Department 405 - Caffeine Lab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15362.75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15362.75</v>
      </c>
      <c r="M12" s="4"/>
      <c r="N12" s="12">
        <f t="shared" ref="N12:N14" si="1">IF(H12=0,0,L12/H12)</f>
        <v>0</v>
      </c>
      <c r="O12" s="10"/>
      <c r="P12" s="4">
        <f>SUM(OSRRefP13x_0)</f>
        <v>15362.75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15362.75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--2269.66</f>
        <v>2269.66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2269.66</v>
      </c>
      <c r="M13" s="2"/>
      <c r="N13" s="19">
        <f t="shared" si="1"/>
        <v>0</v>
      </c>
      <c r="O13" s="11"/>
      <c r="P13" s="2">
        <f>--2269.66</f>
        <v>2269.66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2269.66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--13093.09</f>
        <v>13093.09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13093.09</v>
      </c>
      <c r="M14" s="2"/>
      <c r="N14" s="19">
        <f t="shared" si="1"/>
        <v>0</v>
      </c>
      <c r="O14" s="11"/>
      <c r="P14" s="2">
        <f>--13093.09</f>
        <v>13093.09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13093.09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5838.27</v>
      </c>
      <c r="E16" s="4"/>
      <c r="F16" s="12">
        <f t="shared" ref="F16:F18" si="6">IF(D$12=0,0,D16/D$12)</f>
        <v>0.38002766431791185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5838.27</v>
      </c>
      <c r="M16" s="4"/>
      <c r="N16" s="12">
        <f t="shared" ref="N16:N18" si="9">IF(H16=0,0,L16/H16)</f>
        <v>0</v>
      </c>
      <c r="O16" s="10"/>
      <c r="P16" s="4">
        <f>SUM(OSRRefP16x_0)</f>
        <v>5838.27</v>
      </c>
      <c r="Q16" s="4"/>
      <c r="R16" s="12">
        <f t="shared" ref="R16:R18" si="10">IF(P$12=0,0,P16/P$12)</f>
        <v>0.38002766431791185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5838.27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19561.27</v>
      </c>
      <c r="E17" s="2"/>
      <c r="F17" s="19">
        <f t="shared" si="6"/>
        <v>1.2732922165627898</v>
      </c>
      <c r="G17" s="2"/>
      <c r="H17" s="2"/>
      <c r="I17" s="2"/>
      <c r="J17" s="19">
        <f t="shared" si="7"/>
        <v>0</v>
      </c>
      <c r="K17" s="2"/>
      <c r="L17" s="2">
        <f t="shared" si="8"/>
        <v>19561.27</v>
      </c>
      <c r="M17" s="2"/>
      <c r="N17" s="19">
        <f t="shared" si="9"/>
        <v>0</v>
      </c>
      <c r="O17" s="11"/>
      <c r="P17" s="2">
        <v>19561.27</v>
      </c>
      <c r="Q17" s="2"/>
      <c r="R17" s="19">
        <f t="shared" si="10"/>
        <v>1.2732922165627898</v>
      </c>
      <c r="S17" s="2"/>
      <c r="T17" s="2"/>
      <c r="U17" s="2"/>
      <c r="V17" s="19">
        <f t="shared" si="11"/>
        <v>0</v>
      </c>
      <c r="W17" s="2"/>
      <c r="X17" s="2">
        <f t="shared" si="12"/>
        <v>19561.27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-13723</v>
      </c>
      <c r="E18" s="2"/>
      <c r="F18" s="19">
        <f t="shared" si="6"/>
        <v>-0.893264552244878</v>
      </c>
      <c r="G18" s="2"/>
      <c r="H18" s="2"/>
      <c r="I18" s="2"/>
      <c r="J18" s="19">
        <f t="shared" si="7"/>
        <v>0</v>
      </c>
      <c r="K18" s="2"/>
      <c r="L18" s="2">
        <f t="shared" si="8"/>
        <v>-13723</v>
      </c>
      <c r="M18" s="2"/>
      <c r="N18" s="19">
        <f t="shared" si="9"/>
        <v>0</v>
      </c>
      <c r="O18" s="11"/>
      <c r="P18" s="2">
        <v>-13723</v>
      </c>
      <c r="Q18" s="2"/>
      <c r="R18" s="19">
        <f t="shared" si="10"/>
        <v>-0.893264552244878</v>
      </c>
      <c r="S18" s="2"/>
      <c r="T18" s="2"/>
      <c r="U18" s="2"/>
      <c r="V18" s="19">
        <f t="shared" si="11"/>
        <v>0</v>
      </c>
      <c r="W18" s="2"/>
      <c r="X18" s="2">
        <f t="shared" si="12"/>
        <v>-13723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6"/>
      <c r="G19" s="3"/>
      <c r="H19" s="3"/>
      <c r="I19" s="3"/>
      <c r="J19" s="6"/>
      <c r="K19" s="3"/>
      <c r="L19" s="3"/>
      <c r="M19" s="3"/>
      <c r="N19" s="6"/>
      <c r="O19" s="10"/>
      <c r="P19" s="3"/>
      <c r="Q19" s="3"/>
      <c r="R19" s="6"/>
      <c r="S19" s="3"/>
      <c r="T19" s="3"/>
      <c r="U19" s="3"/>
      <c r="V19" s="6"/>
      <c r="W19" s="3"/>
      <c r="X19" s="3"/>
      <c r="Y19" s="3"/>
      <c r="Z19" s="6"/>
    </row>
    <row r="20" spans="1:26" s="23" customFormat="1" x14ac:dyDescent="0.3">
      <c r="A20" s="10"/>
      <c r="B20" s="25" t="s">
        <v>107</v>
      </c>
      <c r="C20" s="25"/>
      <c r="D20" s="20">
        <f>D12-D16</f>
        <v>9524.48</v>
      </c>
      <c r="E20" s="13"/>
      <c r="F20" s="22">
        <f>IF(D$12=0,0,D20/D$12)</f>
        <v>0.61997233568208809</v>
      </c>
      <c r="G20" s="13"/>
      <c r="H20" s="20">
        <f>H12-H16</f>
        <v>0</v>
      </c>
      <c r="I20" s="13"/>
      <c r="J20" s="22">
        <f>IF(H$12=0,0,H20/H$12)</f>
        <v>0</v>
      </c>
      <c r="K20" s="15"/>
      <c r="L20" s="20">
        <f>+D20-H20</f>
        <v>9524.48</v>
      </c>
      <c r="M20" s="15"/>
      <c r="N20" s="22">
        <f>IF(H20=0,0,L20/H20)</f>
        <v>0</v>
      </c>
      <c r="O20" s="26"/>
      <c r="P20" s="20">
        <f>P12-P16</f>
        <v>9524.48</v>
      </c>
      <c r="Q20" s="13"/>
      <c r="R20" s="22">
        <f>IF(P$12=0,0,P20/P$12)</f>
        <v>0.61997233568208809</v>
      </c>
      <c r="S20" s="13"/>
      <c r="T20" s="20">
        <f>T12-T16</f>
        <v>0</v>
      </c>
      <c r="U20" s="13"/>
      <c r="V20" s="22">
        <f>IF(T$12=0,0,T20/T$12)</f>
        <v>0</v>
      </c>
      <c r="W20" s="15"/>
      <c r="X20" s="20">
        <f>+P20-T20</f>
        <v>9524.48</v>
      </c>
      <c r="Y20" s="15"/>
      <c r="Z20" s="22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1">
        <f>SUM(OSRRefD22x_0)</f>
        <v>29201.399999999998</v>
      </c>
      <c r="E22" s="21"/>
      <c r="F22" s="32">
        <f t="shared" ref="F22:F31" si="14">IF(D$12=0,0,D22/D$12)</f>
        <v>1.9007925013425329</v>
      </c>
      <c r="G22" s="21"/>
      <c r="H22" s="21">
        <f>SUM(OSRRefH22x_0)</f>
        <v>4682.1000000000004</v>
      </c>
      <c r="I22" s="21"/>
      <c r="J22" s="32">
        <f t="shared" ref="J22:J31" si="15">IF(H$12=0,0,H22/H$12)</f>
        <v>0</v>
      </c>
      <c r="K22" s="4"/>
      <c r="L22" s="21">
        <f t="shared" ref="L22:L31" si="16">+D22-H22</f>
        <v>24519.299999999996</v>
      </c>
      <c r="M22" s="4"/>
      <c r="N22" s="32">
        <f t="shared" ref="N22:N31" si="17">IF(H22=0,0,L22/H22)</f>
        <v>5.2368168129685388</v>
      </c>
      <c r="O22" s="10"/>
      <c r="P22" s="21">
        <f>SUM(OSRRefP22x_0)</f>
        <v>42485.430000000008</v>
      </c>
      <c r="Q22" s="21"/>
      <c r="R22" s="32">
        <f t="shared" ref="R22:R31" si="18">IF(P$12=0,0,P22/P$12)</f>
        <v>2.7654833932726892</v>
      </c>
      <c r="S22" s="21"/>
      <c r="T22" s="21">
        <f>SUM(OSRRefT22x_0)</f>
        <v>11149.7</v>
      </c>
      <c r="U22" s="21"/>
      <c r="V22" s="32">
        <f t="shared" ref="V22:V31" si="19">IF(T$12=0,0,T22/T$12)</f>
        <v>0</v>
      </c>
      <c r="W22" s="4"/>
      <c r="X22" s="21">
        <f t="shared" ref="X22:X31" si="20">+P22-T22</f>
        <v>31335.730000000007</v>
      </c>
      <c r="Y22" s="4"/>
      <c r="Z22" s="32">
        <f t="shared" ref="Z22:Z31" si="21">IF(T22=0,0,X22/T22)</f>
        <v>2.8104549898203541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3007.4900000000002</v>
      </c>
      <c r="E23" s="1"/>
      <c r="F23" s="5">
        <f t="shared" si="14"/>
        <v>0.195765081121544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3007.4900000000002</v>
      </c>
      <c r="M23" s="1"/>
      <c r="N23" s="5">
        <f t="shared" si="17"/>
        <v>0</v>
      </c>
      <c r="O23" s="14"/>
      <c r="P23" s="1">
        <f>SUM(OSRRefP22_0x_0)</f>
        <v>4251.38</v>
      </c>
      <c r="Q23" s="1"/>
      <c r="R23" s="5">
        <f t="shared" si="18"/>
        <v>0.27673300678589446</v>
      </c>
      <c r="S23" s="1"/>
      <c r="T23" s="1">
        <f>SUM(OSRRefT22_0x_0)</f>
        <v>0</v>
      </c>
      <c r="U23" s="1"/>
      <c r="V23" s="5">
        <f t="shared" si="19"/>
        <v>0</v>
      </c>
      <c r="W23" s="1"/>
      <c r="X23" s="1">
        <f t="shared" si="20"/>
        <v>4251.38</v>
      </c>
      <c r="Y23" s="1"/>
      <c r="Z23" s="5">
        <f t="shared" si="21"/>
        <v>0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863.72</v>
      </c>
      <c r="E24" s="2"/>
      <c r="F24" s="8">
        <f t="shared" si="14"/>
        <v>5.6221705098371065E-2</v>
      </c>
      <c r="G24" s="2"/>
      <c r="H24" s="7"/>
      <c r="I24" s="2"/>
      <c r="J24" s="8">
        <f t="shared" si="15"/>
        <v>0</v>
      </c>
      <c r="K24" s="2"/>
      <c r="L24" s="7">
        <f t="shared" si="16"/>
        <v>863.72</v>
      </c>
      <c r="M24" s="2"/>
      <c r="N24" s="8">
        <f t="shared" si="17"/>
        <v>0</v>
      </c>
      <c r="O24" s="11"/>
      <c r="P24" s="7">
        <v>1110.8599999999999</v>
      </c>
      <c r="Q24" s="2"/>
      <c r="R24" s="8">
        <f t="shared" si="18"/>
        <v>7.2308668695383313E-2</v>
      </c>
      <c r="S24" s="2"/>
      <c r="T24" s="7"/>
      <c r="U24" s="2"/>
      <c r="V24" s="8">
        <f t="shared" si="19"/>
        <v>0</v>
      </c>
      <c r="W24" s="2"/>
      <c r="X24" s="7">
        <f t="shared" si="20"/>
        <v>1110.8599999999999</v>
      </c>
      <c r="Y24" s="2"/>
      <c r="Z24" s="8">
        <f t="shared" si="21"/>
        <v>0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394.48</v>
      </c>
      <c r="E25" s="2"/>
      <c r="F25" s="8">
        <f t="shared" si="14"/>
        <v>2.5677694423198973E-2</v>
      </c>
      <c r="G25" s="2"/>
      <c r="H25" s="7"/>
      <c r="I25" s="2"/>
      <c r="J25" s="8">
        <f t="shared" si="15"/>
        <v>0</v>
      </c>
      <c r="K25" s="2"/>
      <c r="L25" s="7">
        <f t="shared" si="16"/>
        <v>394.48</v>
      </c>
      <c r="M25" s="2"/>
      <c r="N25" s="8">
        <f t="shared" si="17"/>
        <v>0</v>
      </c>
      <c r="O25" s="11"/>
      <c r="P25" s="7">
        <v>510.79</v>
      </c>
      <c r="Q25" s="2"/>
      <c r="R25" s="8">
        <f t="shared" si="18"/>
        <v>3.3248604579258274E-2</v>
      </c>
      <c r="S25" s="2"/>
      <c r="T25" s="7"/>
      <c r="U25" s="2"/>
      <c r="V25" s="8">
        <f t="shared" si="19"/>
        <v>0</v>
      </c>
      <c r="W25" s="2"/>
      <c r="X25" s="7">
        <f t="shared" si="20"/>
        <v>510.79</v>
      </c>
      <c r="Y25" s="2"/>
      <c r="Z25" s="8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681.45</v>
      </c>
      <c r="E26" s="2"/>
      <c r="F26" s="8">
        <f t="shared" si="14"/>
        <v>4.4357292802395407E-2</v>
      </c>
      <c r="G26" s="2"/>
      <c r="H26" s="7"/>
      <c r="I26" s="2"/>
      <c r="J26" s="8">
        <f t="shared" si="15"/>
        <v>0</v>
      </c>
      <c r="K26" s="2"/>
      <c r="L26" s="7">
        <f t="shared" si="16"/>
        <v>681.45</v>
      </c>
      <c r="M26" s="2"/>
      <c r="N26" s="8">
        <f t="shared" si="17"/>
        <v>0</v>
      </c>
      <c r="O26" s="11"/>
      <c r="P26" s="7">
        <v>724.4</v>
      </c>
      <c r="Q26" s="2"/>
      <c r="R26" s="8">
        <f t="shared" si="18"/>
        <v>4.71530162243088E-2</v>
      </c>
      <c r="S26" s="2"/>
      <c r="T26" s="7"/>
      <c r="U26" s="2"/>
      <c r="V26" s="8">
        <f t="shared" si="19"/>
        <v>0</v>
      </c>
      <c r="W26" s="2"/>
      <c r="X26" s="7">
        <f t="shared" si="20"/>
        <v>724.4</v>
      </c>
      <c r="Y26" s="2"/>
      <c r="Z26" s="8">
        <f t="shared" si="21"/>
        <v>0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28.49</v>
      </c>
      <c r="E27" s="2"/>
      <c r="F27" s="8">
        <f t="shared" si="14"/>
        <v>1.8544856877837626E-3</v>
      </c>
      <c r="G27" s="2"/>
      <c r="H27" s="7"/>
      <c r="I27" s="2"/>
      <c r="J27" s="8">
        <f t="shared" si="15"/>
        <v>0</v>
      </c>
      <c r="K27" s="2"/>
      <c r="L27" s="7">
        <f t="shared" si="16"/>
        <v>28.49</v>
      </c>
      <c r="M27" s="2"/>
      <c r="N27" s="8">
        <f t="shared" si="17"/>
        <v>0</v>
      </c>
      <c r="O27" s="11"/>
      <c r="P27" s="7">
        <v>36.89</v>
      </c>
      <c r="Q27" s="2"/>
      <c r="R27" s="8">
        <f t="shared" si="18"/>
        <v>2.4012627947470342E-3</v>
      </c>
      <c r="S27" s="2"/>
      <c r="T27" s="7"/>
      <c r="U27" s="2"/>
      <c r="V27" s="8">
        <f t="shared" si="19"/>
        <v>0</v>
      </c>
      <c r="W27" s="2"/>
      <c r="X27" s="7">
        <f t="shared" si="20"/>
        <v>36.89</v>
      </c>
      <c r="Y27" s="2"/>
      <c r="Z27" s="8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408.69</v>
      </c>
      <c r="E28" s="2"/>
      <c r="F28" s="8">
        <f t="shared" si="14"/>
        <v>2.6602659029145173E-2</v>
      </c>
      <c r="G28" s="2"/>
      <c r="H28" s="7"/>
      <c r="I28" s="2"/>
      <c r="J28" s="8">
        <f t="shared" si="15"/>
        <v>0</v>
      </c>
      <c r="K28" s="2"/>
      <c r="L28" s="7">
        <f t="shared" si="16"/>
        <v>408.69</v>
      </c>
      <c r="M28" s="2"/>
      <c r="N28" s="8">
        <f t="shared" si="17"/>
        <v>0</v>
      </c>
      <c r="O28" s="11"/>
      <c r="P28" s="7">
        <v>653.9</v>
      </c>
      <c r="Q28" s="2"/>
      <c r="R28" s="8">
        <f t="shared" si="18"/>
        <v>4.2563994076581339E-2</v>
      </c>
      <c r="S28" s="2"/>
      <c r="T28" s="7"/>
      <c r="U28" s="2"/>
      <c r="V28" s="8">
        <f t="shared" si="19"/>
        <v>0</v>
      </c>
      <c r="W28" s="2"/>
      <c r="X28" s="7">
        <f t="shared" si="20"/>
        <v>653.9</v>
      </c>
      <c r="Y28" s="2"/>
      <c r="Z28" s="8">
        <f t="shared" si="21"/>
        <v>0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>
        <v>207.3</v>
      </c>
      <c r="E29" s="2"/>
      <c r="F29" s="8">
        <f t="shared" si="14"/>
        <v>1.3493677889700737E-2</v>
      </c>
      <c r="G29" s="2"/>
      <c r="H29" s="7"/>
      <c r="I29" s="2"/>
      <c r="J29" s="8">
        <f t="shared" si="15"/>
        <v>0</v>
      </c>
      <c r="K29" s="2"/>
      <c r="L29" s="7">
        <f t="shared" si="16"/>
        <v>207.3</v>
      </c>
      <c r="M29" s="2"/>
      <c r="N29" s="8">
        <f t="shared" si="17"/>
        <v>0</v>
      </c>
      <c r="O29" s="11"/>
      <c r="P29" s="7">
        <v>414.6</v>
      </c>
      <c r="Q29" s="2"/>
      <c r="R29" s="8">
        <f t="shared" si="18"/>
        <v>2.6987355779401475E-2</v>
      </c>
      <c r="S29" s="2"/>
      <c r="T29" s="7"/>
      <c r="U29" s="2"/>
      <c r="V29" s="8">
        <f t="shared" si="19"/>
        <v>0</v>
      </c>
      <c r="W29" s="2"/>
      <c r="X29" s="7">
        <f t="shared" si="20"/>
        <v>414.6</v>
      </c>
      <c r="Y29" s="2"/>
      <c r="Z29" s="8">
        <f t="shared" si="21"/>
        <v>0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>
        <v>248.36</v>
      </c>
      <c r="E30" s="2"/>
      <c r="F30" s="8">
        <f t="shared" si="14"/>
        <v>1.6166376462547396E-2</v>
      </c>
      <c r="G30" s="2"/>
      <c r="H30" s="7"/>
      <c r="I30" s="2"/>
      <c r="J30" s="8">
        <f t="shared" si="15"/>
        <v>0</v>
      </c>
      <c r="K30" s="2"/>
      <c r="L30" s="7">
        <f t="shared" si="16"/>
        <v>248.36</v>
      </c>
      <c r="M30" s="2"/>
      <c r="N30" s="8">
        <f t="shared" si="17"/>
        <v>0</v>
      </c>
      <c r="O30" s="11"/>
      <c r="P30" s="7">
        <v>496.72</v>
      </c>
      <c r="Q30" s="2"/>
      <c r="R30" s="8">
        <f t="shared" si="18"/>
        <v>3.2332752925094792E-2</v>
      </c>
      <c r="S30" s="2"/>
      <c r="T30" s="7"/>
      <c r="U30" s="2"/>
      <c r="V30" s="8">
        <f t="shared" si="19"/>
        <v>0</v>
      </c>
      <c r="W30" s="2"/>
      <c r="X30" s="7">
        <f t="shared" si="20"/>
        <v>496.72</v>
      </c>
      <c r="Y30" s="2"/>
      <c r="Z30" s="8">
        <f t="shared" si="21"/>
        <v>0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7">
        <v>175</v>
      </c>
      <c r="E31" s="2"/>
      <c r="F31" s="8">
        <f t="shared" si="14"/>
        <v>1.1391189728401491E-2</v>
      </c>
      <c r="G31" s="2"/>
      <c r="H31" s="7"/>
      <c r="I31" s="2"/>
      <c r="J31" s="8">
        <f t="shared" si="15"/>
        <v>0</v>
      </c>
      <c r="K31" s="2"/>
      <c r="L31" s="7">
        <f t="shared" si="16"/>
        <v>175</v>
      </c>
      <c r="M31" s="2"/>
      <c r="N31" s="8">
        <f t="shared" si="17"/>
        <v>0</v>
      </c>
      <c r="O31" s="11"/>
      <c r="P31" s="7">
        <v>303.22000000000003</v>
      </c>
      <c r="Q31" s="2"/>
      <c r="R31" s="8">
        <f t="shared" si="18"/>
        <v>1.9737351711119431E-2</v>
      </c>
      <c r="S31" s="2"/>
      <c r="T31" s="7"/>
      <c r="U31" s="2"/>
      <c r="V31" s="8">
        <f t="shared" si="19"/>
        <v>0</v>
      </c>
      <c r="W31" s="2"/>
      <c r="X31" s="7">
        <f t="shared" si="20"/>
        <v>303.22000000000003</v>
      </c>
      <c r="Y31" s="2"/>
      <c r="Z31" s="8">
        <f t="shared" si="21"/>
        <v>0</v>
      </c>
    </row>
    <row r="32" spans="1:26" s="28" customFormat="1" outlineLevel="1" collapsed="1" x14ac:dyDescent="0.3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14283.49</v>
      </c>
      <c r="E32" s="1"/>
      <c r="F32" s="5">
        <f t="shared" ref="F32:F36" si="22">IF(D$12=0,0,D32/D$12)</f>
        <v>0.92974825470700229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14283.49</v>
      </c>
      <c r="M32" s="1"/>
      <c r="N32" s="5">
        <f t="shared" ref="N32:N36" si="25">IF(H32=0,0,L32/H32)</f>
        <v>0</v>
      </c>
      <c r="O32" s="14"/>
      <c r="P32" s="1">
        <f>SUM(OSRRefP22_1x_0)</f>
        <v>19274.25</v>
      </c>
      <c r="Q32" s="1"/>
      <c r="R32" s="5">
        <f t="shared" ref="R32:R36" si="26">IF(P$12=0,0,P32/P$12)</f>
        <v>1.2546093635579567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19274.25</v>
      </c>
      <c r="Y32" s="1"/>
      <c r="Z32" s="5">
        <f t="shared" ref="Z32:Z36" si="29">IF(T32=0,0,X32/T32)</f>
        <v>0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5384.62</v>
      </c>
      <c r="E33" s="2"/>
      <c r="F33" s="8">
        <f t="shared" si="22"/>
        <v>0.35049844591625845</v>
      </c>
      <c r="G33" s="2"/>
      <c r="H33" s="7"/>
      <c r="I33" s="2"/>
      <c r="J33" s="8">
        <f t="shared" si="23"/>
        <v>0</v>
      </c>
      <c r="K33" s="2"/>
      <c r="L33" s="7">
        <f t="shared" si="24"/>
        <v>5384.62</v>
      </c>
      <c r="M33" s="2"/>
      <c r="N33" s="8">
        <f t="shared" si="25"/>
        <v>0</v>
      </c>
      <c r="O33" s="11"/>
      <c r="P33" s="7">
        <v>9961.3799999999992</v>
      </c>
      <c r="Q33" s="2"/>
      <c r="R33" s="8">
        <f t="shared" si="26"/>
        <v>0.64841125449545156</v>
      </c>
      <c r="S33" s="2"/>
      <c r="T33" s="7"/>
      <c r="U33" s="2"/>
      <c r="V33" s="8">
        <f t="shared" si="27"/>
        <v>0</v>
      </c>
      <c r="W33" s="2"/>
      <c r="X33" s="7">
        <f t="shared" si="28"/>
        <v>9961.3799999999992</v>
      </c>
      <c r="Y33" s="2"/>
      <c r="Z33" s="8">
        <f t="shared" si="29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329.88</v>
      </c>
      <c r="E34" s="2"/>
      <c r="F34" s="8">
        <f t="shared" si="22"/>
        <v>2.1472718100600478E-2</v>
      </c>
      <c r="G34" s="2"/>
      <c r="H34" s="7"/>
      <c r="I34" s="2"/>
      <c r="J34" s="8">
        <f t="shared" si="23"/>
        <v>0</v>
      </c>
      <c r="K34" s="2"/>
      <c r="L34" s="7">
        <f t="shared" si="24"/>
        <v>329.88</v>
      </c>
      <c r="M34" s="2"/>
      <c r="N34" s="8">
        <f t="shared" si="25"/>
        <v>0</v>
      </c>
      <c r="O34" s="11"/>
      <c r="P34" s="7">
        <v>329.88</v>
      </c>
      <c r="Q34" s="2"/>
      <c r="R34" s="8">
        <f t="shared" si="26"/>
        <v>2.1472718100600478E-2</v>
      </c>
      <c r="S34" s="2"/>
      <c r="T34" s="7"/>
      <c r="U34" s="2"/>
      <c r="V34" s="8">
        <f t="shared" si="27"/>
        <v>0</v>
      </c>
      <c r="W34" s="2"/>
      <c r="X34" s="7">
        <f t="shared" si="28"/>
        <v>329.88</v>
      </c>
      <c r="Y34" s="2"/>
      <c r="Z34" s="8">
        <f t="shared" si="29"/>
        <v>0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1464.81</v>
      </c>
      <c r="E35" s="2"/>
      <c r="F35" s="8">
        <f t="shared" si="22"/>
        <v>9.534816357748449E-2</v>
      </c>
      <c r="G35" s="2"/>
      <c r="H35" s="7"/>
      <c r="I35" s="2"/>
      <c r="J35" s="8">
        <f t="shared" si="23"/>
        <v>0</v>
      </c>
      <c r="K35" s="2"/>
      <c r="L35" s="7">
        <f t="shared" si="24"/>
        <v>1464.81</v>
      </c>
      <c r="M35" s="2"/>
      <c r="N35" s="8">
        <f t="shared" si="25"/>
        <v>0</v>
      </c>
      <c r="O35" s="11"/>
      <c r="P35" s="7">
        <v>1464.81</v>
      </c>
      <c r="Q35" s="2"/>
      <c r="R35" s="8">
        <f t="shared" si="26"/>
        <v>9.534816357748449E-2</v>
      </c>
      <c r="S35" s="2"/>
      <c r="T35" s="7"/>
      <c r="U35" s="2"/>
      <c r="V35" s="8">
        <f t="shared" si="27"/>
        <v>0</v>
      </c>
      <c r="W35" s="2"/>
      <c r="X35" s="7">
        <f t="shared" si="28"/>
        <v>1464.81</v>
      </c>
      <c r="Y35" s="2"/>
      <c r="Z35" s="8">
        <f t="shared" si="29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7104.18</v>
      </c>
      <c r="E36" s="2"/>
      <c r="F36" s="8">
        <f t="shared" si="22"/>
        <v>0.46242892711265887</v>
      </c>
      <c r="G36" s="2"/>
      <c r="H36" s="7"/>
      <c r="I36" s="2"/>
      <c r="J36" s="8">
        <f t="shared" si="23"/>
        <v>0</v>
      </c>
      <c r="K36" s="2"/>
      <c r="L36" s="7">
        <f t="shared" si="24"/>
        <v>7104.18</v>
      </c>
      <c r="M36" s="2"/>
      <c r="N36" s="8">
        <f t="shared" si="25"/>
        <v>0</v>
      </c>
      <c r="O36" s="11"/>
      <c r="P36" s="7">
        <v>7518.18</v>
      </c>
      <c r="Q36" s="2"/>
      <c r="R36" s="8">
        <f t="shared" si="26"/>
        <v>0.48937722738442013</v>
      </c>
      <c r="S36" s="2"/>
      <c r="T36" s="7"/>
      <c r="U36" s="2"/>
      <c r="V36" s="8">
        <f t="shared" si="27"/>
        <v>0</v>
      </c>
      <c r="W36" s="2"/>
      <c r="X36" s="7">
        <f t="shared" si="28"/>
        <v>7518.18</v>
      </c>
      <c r="Y36" s="2"/>
      <c r="Z36" s="8">
        <f t="shared" si="29"/>
        <v>0</v>
      </c>
    </row>
    <row r="37" spans="1:26" s="28" customFormat="1" outlineLevel="1" collapsed="1" x14ac:dyDescent="0.3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27</v>
      </c>
      <c r="E37" s="1"/>
      <c r="F37" s="5">
        <f t="shared" ref="F37:F45" si="30">IF(D$12=0,0,D37/D$12)</f>
        <v>1.7574978438105156E-3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27</v>
      </c>
      <c r="M37" s="1"/>
      <c r="N37" s="5">
        <f t="shared" ref="N37:N45" si="33">IF(H37=0,0,L37/H37)</f>
        <v>0</v>
      </c>
      <c r="O37" s="14"/>
      <c r="P37" s="1">
        <f>SUM(OSRRefP22_2x_0)</f>
        <v>75.14</v>
      </c>
      <c r="Q37" s="1"/>
      <c r="R37" s="5">
        <f t="shared" ref="R37:R45" si="34">IF(P$12=0,0,P37/P$12)</f>
        <v>4.8910514068119318E-3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75.14</v>
      </c>
      <c r="Y37" s="1"/>
      <c r="Z37" s="5">
        <f t="shared" ref="Z37:Z45" si="3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27</v>
      </c>
      <c r="E38" s="2"/>
      <c r="F38" s="8">
        <f t="shared" si="30"/>
        <v>1.7574978438105156E-3</v>
      </c>
      <c r="G38" s="2"/>
      <c r="H38" s="7"/>
      <c r="I38" s="2"/>
      <c r="J38" s="8">
        <f t="shared" si="31"/>
        <v>0</v>
      </c>
      <c r="K38" s="2"/>
      <c r="L38" s="7">
        <f t="shared" si="32"/>
        <v>27</v>
      </c>
      <c r="M38" s="2"/>
      <c r="N38" s="8">
        <f t="shared" si="33"/>
        <v>0</v>
      </c>
      <c r="O38" s="11"/>
      <c r="P38" s="7">
        <v>75.14</v>
      </c>
      <c r="Q38" s="2"/>
      <c r="R38" s="8">
        <f t="shared" si="34"/>
        <v>4.8910514068119318E-3</v>
      </c>
      <c r="S38" s="2"/>
      <c r="T38" s="7"/>
      <c r="U38" s="2"/>
      <c r="V38" s="8">
        <f t="shared" si="35"/>
        <v>0</v>
      </c>
      <c r="W38" s="2"/>
      <c r="X38" s="7">
        <f t="shared" si="36"/>
        <v>75.14</v>
      </c>
      <c r="Y38" s="2"/>
      <c r="Z38" s="8">
        <f t="shared" si="37"/>
        <v>0</v>
      </c>
    </row>
    <row r="39" spans="1:26" s="28" customFormat="1" outlineLevel="1" collapsed="1" x14ac:dyDescent="0.3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-102</v>
      </c>
      <c r="E39" s="1"/>
      <c r="F39" s="5">
        <f t="shared" si="30"/>
        <v>-6.6394362988397258E-3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-102</v>
      </c>
      <c r="M39" s="1"/>
      <c r="N39" s="5">
        <f t="shared" si="33"/>
        <v>0</v>
      </c>
      <c r="O39" s="14"/>
      <c r="P39" s="1">
        <f>SUM(OSRRefP22_3x_0)</f>
        <v>-102</v>
      </c>
      <c r="Q39" s="1"/>
      <c r="R39" s="5">
        <f t="shared" si="34"/>
        <v>-6.6394362988397258E-3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-102</v>
      </c>
      <c r="Y39" s="1"/>
      <c r="Z39" s="5">
        <f t="shared" si="37"/>
        <v>0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7">
        <v>-102</v>
      </c>
      <c r="E40" s="2"/>
      <c r="F40" s="8">
        <f t="shared" si="30"/>
        <v>-6.6394362988397258E-3</v>
      </c>
      <c r="G40" s="2"/>
      <c r="H40" s="7"/>
      <c r="I40" s="2"/>
      <c r="J40" s="8">
        <f t="shared" si="31"/>
        <v>0</v>
      </c>
      <c r="K40" s="2"/>
      <c r="L40" s="7">
        <f t="shared" si="32"/>
        <v>-102</v>
      </c>
      <c r="M40" s="2"/>
      <c r="N40" s="8">
        <f t="shared" si="33"/>
        <v>0</v>
      </c>
      <c r="O40" s="11"/>
      <c r="P40" s="7">
        <v>-102</v>
      </c>
      <c r="Q40" s="2"/>
      <c r="R40" s="8">
        <f t="shared" si="34"/>
        <v>-6.6394362988397258E-3</v>
      </c>
      <c r="S40" s="2"/>
      <c r="T40" s="7"/>
      <c r="U40" s="2"/>
      <c r="V40" s="8">
        <f t="shared" si="35"/>
        <v>0</v>
      </c>
      <c r="W40" s="2"/>
      <c r="X40" s="7">
        <f t="shared" si="36"/>
        <v>-102</v>
      </c>
      <c r="Y40" s="2"/>
      <c r="Z40" s="8">
        <f t="shared" si="37"/>
        <v>0</v>
      </c>
    </row>
    <row r="41" spans="1:26" s="28" customFormat="1" outlineLevel="1" collapsed="1" x14ac:dyDescent="0.3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721.81</v>
      </c>
      <c r="E41" s="1"/>
      <c r="F41" s="5">
        <f t="shared" si="30"/>
        <v>4.6984426616328456E-2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721.81</v>
      </c>
      <c r="M41" s="1"/>
      <c r="N41" s="5">
        <f t="shared" si="33"/>
        <v>0</v>
      </c>
      <c r="O41" s="14"/>
      <c r="P41" s="1">
        <f>SUM(OSRRefP22_4x_0)</f>
        <v>721.81</v>
      </c>
      <c r="Q41" s="1"/>
      <c r="R41" s="5">
        <f t="shared" si="34"/>
        <v>4.6984426616328456E-2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721.81</v>
      </c>
      <c r="Y41" s="1"/>
      <c r="Z41" s="5">
        <f t="shared" si="37"/>
        <v>0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721.81</v>
      </c>
      <c r="E42" s="2"/>
      <c r="F42" s="8">
        <f t="shared" si="30"/>
        <v>4.6984426616328456E-2</v>
      </c>
      <c r="G42" s="2"/>
      <c r="H42" s="7"/>
      <c r="I42" s="2"/>
      <c r="J42" s="8">
        <f t="shared" si="31"/>
        <v>0</v>
      </c>
      <c r="K42" s="2"/>
      <c r="L42" s="7">
        <f t="shared" si="32"/>
        <v>721.81</v>
      </c>
      <c r="M42" s="2"/>
      <c r="N42" s="8">
        <f t="shared" si="33"/>
        <v>0</v>
      </c>
      <c r="O42" s="11"/>
      <c r="P42" s="7">
        <v>721.81</v>
      </c>
      <c r="Q42" s="2"/>
      <c r="R42" s="8">
        <f t="shared" si="34"/>
        <v>4.6984426616328456E-2</v>
      </c>
      <c r="S42" s="2"/>
      <c r="T42" s="7"/>
      <c r="U42" s="2"/>
      <c r="V42" s="8">
        <f t="shared" si="35"/>
        <v>0</v>
      </c>
      <c r="W42" s="2"/>
      <c r="X42" s="7">
        <f t="shared" si="36"/>
        <v>721.81</v>
      </c>
      <c r="Y42" s="2"/>
      <c r="Z42" s="8">
        <f t="shared" si="37"/>
        <v>0</v>
      </c>
    </row>
    <row r="43" spans="1:26" s="28" customFormat="1" outlineLevel="1" collapsed="1" x14ac:dyDescent="0.3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0.30115051016256855</v>
      </c>
      <c r="G43" s="1"/>
      <c r="H43" s="1">
        <f>SUM(OSRRefH22_5x_0)</f>
        <v>5330.05</v>
      </c>
      <c r="I43" s="1"/>
      <c r="J43" s="5">
        <f t="shared" si="31"/>
        <v>0</v>
      </c>
      <c r="K43" s="1"/>
      <c r="L43" s="1">
        <f t="shared" si="32"/>
        <v>-703.55000000000018</v>
      </c>
      <c r="M43" s="1"/>
      <c r="N43" s="5">
        <f t="shared" si="33"/>
        <v>-0.13199688558268688</v>
      </c>
      <c r="O43" s="14"/>
      <c r="P43" s="1">
        <f>SUM(OSRRefP22_5x_0)</f>
        <v>9253</v>
      </c>
      <c r="Q43" s="1"/>
      <c r="R43" s="5">
        <f t="shared" si="34"/>
        <v>0.6023010203251371</v>
      </c>
      <c r="S43" s="1"/>
      <c r="T43" s="1">
        <f>SUM(OSRRefT22_5x_0)</f>
        <v>10660.1</v>
      </c>
      <c r="U43" s="1"/>
      <c r="V43" s="5">
        <f t="shared" si="35"/>
        <v>0</v>
      </c>
      <c r="W43" s="1"/>
      <c r="X43" s="1">
        <f t="shared" si="36"/>
        <v>-1407.1000000000004</v>
      </c>
      <c r="Y43" s="1"/>
      <c r="Z43" s="5">
        <f t="shared" si="37"/>
        <v>-0.13199688558268688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8">
        <f t="shared" si="30"/>
        <v>0.30115051016256855</v>
      </c>
      <c r="G44" s="2"/>
      <c r="H44" s="7">
        <v>4626.5</v>
      </c>
      <c r="I44" s="2"/>
      <c r="J44" s="8">
        <f t="shared" si="31"/>
        <v>0</v>
      </c>
      <c r="K44" s="2"/>
      <c r="L44" s="7">
        <f t="shared" si="32"/>
        <v>0</v>
      </c>
      <c r="M44" s="2"/>
      <c r="N44" s="8">
        <f t="shared" si="33"/>
        <v>0</v>
      </c>
      <c r="O44" s="11"/>
      <c r="P44" s="7">
        <v>9253</v>
      </c>
      <c r="Q44" s="2"/>
      <c r="R44" s="8">
        <f t="shared" si="34"/>
        <v>0.6023010203251371</v>
      </c>
      <c r="S44" s="2"/>
      <c r="T44" s="7">
        <v>9253</v>
      </c>
      <c r="U44" s="2"/>
      <c r="V44" s="8">
        <f t="shared" si="35"/>
        <v>0</v>
      </c>
      <c r="W44" s="2"/>
      <c r="X44" s="7">
        <f t="shared" si="36"/>
        <v>0</v>
      </c>
      <c r="Y44" s="2"/>
      <c r="Z44" s="8">
        <f t="shared" si="37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/>
      <c r="E45" s="2"/>
      <c r="F45" s="8">
        <f t="shared" si="30"/>
        <v>0</v>
      </c>
      <c r="G45" s="2"/>
      <c r="H45" s="7">
        <v>703.55</v>
      </c>
      <c r="I45" s="2"/>
      <c r="J45" s="8">
        <f t="shared" si="31"/>
        <v>0</v>
      </c>
      <c r="K45" s="2"/>
      <c r="L45" s="7">
        <f t="shared" si="32"/>
        <v>-703.55</v>
      </c>
      <c r="M45" s="2"/>
      <c r="N45" s="8">
        <f t="shared" si="33"/>
        <v>-1</v>
      </c>
      <c r="O45" s="11"/>
      <c r="P45" s="7"/>
      <c r="Q45" s="2"/>
      <c r="R45" s="8">
        <f t="shared" si="34"/>
        <v>0</v>
      </c>
      <c r="S45" s="2"/>
      <c r="T45" s="7">
        <v>1407.1</v>
      </c>
      <c r="U45" s="2"/>
      <c r="V45" s="8">
        <f t="shared" si="35"/>
        <v>0</v>
      </c>
      <c r="W45" s="2"/>
      <c r="X45" s="7">
        <f t="shared" si="36"/>
        <v>-1407.1</v>
      </c>
      <c r="Y45" s="2"/>
      <c r="Z45" s="8">
        <f t="shared" si="37"/>
        <v>-1</v>
      </c>
    </row>
    <row r="46" spans="1:26" s="28" customFormat="1" outlineLevel="1" collapsed="1" x14ac:dyDescent="0.3">
      <c r="A46" s="29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SUM(OSRRefD22_6x_0)</f>
        <v>1887.3</v>
      </c>
      <c r="E46" s="1"/>
      <c r="F46" s="5">
        <f t="shared" ref="F46:F52" si="38">IF(D$12=0,0,D46/D$12)</f>
        <v>0.12284909928235505</v>
      </c>
      <c r="G46" s="1"/>
      <c r="H46" s="1">
        <f>SUM(OSRRefH22_6x_0)</f>
        <v>-1114.55</v>
      </c>
      <c r="I46" s="1"/>
      <c r="J46" s="5">
        <f t="shared" ref="J46:J52" si="39">IF(H$12=0,0,H46/H$12)</f>
        <v>0</v>
      </c>
      <c r="K46" s="1"/>
      <c r="L46" s="1">
        <f t="shared" ref="L46:L52" si="40">+D46-H46</f>
        <v>3001.85</v>
      </c>
      <c r="M46" s="1"/>
      <c r="N46" s="5">
        <f t="shared" ref="N46:N52" si="41">IF(H46=0,0,L46/H46)</f>
        <v>-2.6933291462922258</v>
      </c>
      <c r="O46" s="14"/>
      <c r="P46" s="1">
        <f>SUM(OSRRefP22_6x_0)</f>
        <v>1887.3</v>
      </c>
      <c r="Q46" s="1"/>
      <c r="R46" s="5">
        <f t="shared" ref="R46:R52" si="42">IF(P$12=0,0,P46/P$12)</f>
        <v>0.12284909928235505</v>
      </c>
      <c r="S46" s="1"/>
      <c r="T46" s="1">
        <f>SUM(OSRRefT22_6x_0)</f>
        <v>0</v>
      </c>
      <c r="U46" s="1"/>
      <c r="V46" s="5">
        <f t="shared" ref="V46:V52" si="43">IF(T$12=0,0,T46/T$12)</f>
        <v>0</v>
      </c>
      <c r="W46" s="1"/>
      <c r="X46" s="1">
        <f t="shared" ref="X46:X52" si="44">+P46-T46</f>
        <v>1887.3</v>
      </c>
      <c r="Y46" s="1"/>
      <c r="Z46" s="5">
        <f t="shared" ref="Z46:Z52" si="45">IF(T46=0,0,X46/T46)</f>
        <v>0</v>
      </c>
    </row>
    <row r="47" spans="1:26" s="24" customFormat="1" hidden="1" outlineLevel="2" x14ac:dyDescent="0.3">
      <c r="A47" s="27"/>
      <c r="B47" s="11" t="str">
        <f>CONCATENATE("          ", "6279", " - ", "GENERAL EXPENSE")</f>
        <v xml:space="preserve">          6279 - GENERAL EXPENSE</v>
      </c>
      <c r="C47" s="11"/>
      <c r="D47" s="7">
        <v>1887.3</v>
      </c>
      <c r="E47" s="2"/>
      <c r="F47" s="8">
        <f t="shared" si="38"/>
        <v>0.12284909928235505</v>
      </c>
      <c r="G47" s="2"/>
      <c r="H47" s="7">
        <v>-1114.55</v>
      </c>
      <c r="I47" s="2"/>
      <c r="J47" s="8">
        <f t="shared" si="39"/>
        <v>0</v>
      </c>
      <c r="K47" s="2"/>
      <c r="L47" s="7">
        <f t="shared" si="40"/>
        <v>3001.85</v>
      </c>
      <c r="M47" s="2"/>
      <c r="N47" s="8">
        <f t="shared" si="41"/>
        <v>-2.6933291462922258</v>
      </c>
      <c r="O47" s="11"/>
      <c r="P47" s="7">
        <v>1887.3</v>
      </c>
      <c r="Q47" s="2"/>
      <c r="R47" s="8">
        <f t="shared" si="42"/>
        <v>0.12284909928235505</v>
      </c>
      <c r="S47" s="2"/>
      <c r="T47" s="7">
        <v>0</v>
      </c>
      <c r="U47" s="2"/>
      <c r="V47" s="8">
        <f t="shared" si="43"/>
        <v>0</v>
      </c>
      <c r="W47" s="2"/>
      <c r="X47" s="7">
        <f t="shared" si="44"/>
        <v>1887.3</v>
      </c>
      <c r="Y47" s="2"/>
      <c r="Z47" s="8">
        <f t="shared" si="45"/>
        <v>0</v>
      </c>
    </row>
    <row r="48" spans="1:26" s="28" customFormat="1" outlineLevel="1" collapsed="1" x14ac:dyDescent="0.3">
      <c r="A48" s="29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SUM(OSRRefD22_7x_0)</f>
        <v>1850</v>
      </c>
      <c r="E48" s="1"/>
      <c r="F48" s="5">
        <f t="shared" si="38"/>
        <v>0.12042114855738718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1850</v>
      </c>
      <c r="M48" s="1"/>
      <c r="N48" s="5">
        <f t="shared" si="41"/>
        <v>0</v>
      </c>
      <c r="O48" s="14"/>
      <c r="P48" s="1">
        <f>SUM(OSRRefP22_7x_0)</f>
        <v>3700</v>
      </c>
      <c r="Q48" s="1"/>
      <c r="R48" s="5">
        <f t="shared" si="42"/>
        <v>0.24084229711477437</v>
      </c>
      <c r="S48" s="1"/>
      <c r="T48" s="1">
        <f>SUM(OSRRefT22_7x_0)</f>
        <v>0</v>
      </c>
      <c r="U48" s="1"/>
      <c r="V48" s="5">
        <f t="shared" si="43"/>
        <v>0</v>
      </c>
      <c r="W48" s="1"/>
      <c r="X48" s="1">
        <f t="shared" si="44"/>
        <v>3700</v>
      </c>
      <c r="Y48" s="1"/>
      <c r="Z48" s="5">
        <f t="shared" si="45"/>
        <v>0</v>
      </c>
    </row>
    <row r="49" spans="1:26" s="24" customFormat="1" hidden="1" outlineLevel="2" x14ac:dyDescent="0.3">
      <c r="A49" s="27"/>
      <c r="B49" s="11" t="str">
        <f>CONCATENATE("          ", "6273", " - ", "RENT")</f>
        <v xml:space="preserve">          6273 - RENT</v>
      </c>
      <c r="C49" s="11"/>
      <c r="D49" s="7">
        <v>1850</v>
      </c>
      <c r="E49" s="2"/>
      <c r="F49" s="8">
        <f t="shared" si="38"/>
        <v>0.12042114855738718</v>
      </c>
      <c r="G49" s="2"/>
      <c r="H49" s="7"/>
      <c r="I49" s="2"/>
      <c r="J49" s="8">
        <f t="shared" si="39"/>
        <v>0</v>
      </c>
      <c r="K49" s="2"/>
      <c r="L49" s="7">
        <f t="shared" si="40"/>
        <v>1850</v>
      </c>
      <c r="M49" s="2"/>
      <c r="N49" s="8">
        <f t="shared" si="41"/>
        <v>0</v>
      </c>
      <c r="O49" s="11"/>
      <c r="P49" s="7">
        <v>3700</v>
      </c>
      <c r="Q49" s="2"/>
      <c r="R49" s="8">
        <f t="shared" si="42"/>
        <v>0.24084229711477437</v>
      </c>
      <c r="S49" s="2"/>
      <c r="T49" s="7"/>
      <c r="U49" s="2"/>
      <c r="V49" s="8">
        <f t="shared" si="43"/>
        <v>0</v>
      </c>
      <c r="W49" s="2"/>
      <c r="X49" s="7">
        <f t="shared" si="44"/>
        <v>3700</v>
      </c>
      <c r="Y49" s="2"/>
      <c r="Z49" s="8">
        <f t="shared" si="45"/>
        <v>0</v>
      </c>
    </row>
    <row r="50" spans="1:26" s="28" customFormat="1" outlineLevel="1" collapsed="1" x14ac:dyDescent="0.3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1665.08</v>
      </c>
      <c r="E50" s="1"/>
      <c r="F50" s="5">
        <f t="shared" si="38"/>
        <v>0.10838424110266716</v>
      </c>
      <c r="G50" s="1"/>
      <c r="H50" s="1">
        <f>SUM(OSRRefH22_8x_0)</f>
        <v>420.6</v>
      </c>
      <c r="I50" s="1"/>
      <c r="J50" s="5">
        <f t="shared" si="39"/>
        <v>0</v>
      </c>
      <c r="K50" s="1"/>
      <c r="L50" s="1">
        <f t="shared" si="40"/>
        <v>1244.48</v>
      </c>
      <c r="M50" s="1"/>
      <c r="N50" s="5">
        <f t="shared" si="41"/>
        <v>2.9588207322872084</v>
      </c>
      <c r="O50" s="14"/>
      <c r="P50" s="1">
        <f>SUM(OSRRefP22_8x_0)</f>
        <v>1796.03</v>
      </c>
      <c r="Q50" s="1"/>
      <c r="R50" s="5">
        <f t="shared" si="42"/>
        <v>0.11690810564514817</v>
      </c>
      <c r="S50" s="1"/>
      <c r="T50" s="1">
        <f>SUM(OSRRefT22_8x_0)</f>
        <v>420.6</v>
      </c>
      <c r="U50" s="1"/>
      <c r="V50" s="5">
        <f t="shared" si="43"/>
        <v>0</v>
      </c>
      <c r="W50" s="1"/>
      <c r="X50" s="1">
        <f t="shared" si="44"/>
        <v>1375.4299999999998</v>
      </c>
      <c r="Y50" s="1"/>
      <c r="Z50" s="5">
        <f t="shared" si="45"/>
        <v>3.2701616737993335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7"/>
      <c r="E51" s="2"/>
      <c r="F51" s="8">
        <f t="shared" si="38"/>
        <v>0</v>
      </c>
      <c r="G51" s="2"/>
      <c r="H51" s="7">
        <v>78.599999999999994</v>
      </c>
      <c r="I51" s="2"/>
      <c r="J51" s="8">
        <f t="shared" si="39"/>
        <v>0</v>
      </c>
      <c r="K51" s="2"/>
      <c r="L51" s="7">
        <f t="shared" si="40"/>
        <v>-78.599999999999994</v>
      </c>
      <c r="M51" s="2"/>
      <c r="N51" s="8">
        <f t="shared" si="41"/>
        <v>-1</v>
      </c>
      <c r="O51" s="11"/>
      <c r="P51" s="7"/>
      <c r="Q51" s="2"/>
      <c r="R51" s="8">
        <f t="shared" si="42"/>
        <v>0</v>
      </c>
      <c r="S51" s="2"/>
      <c r="T51" s="7">
        <v>78.599999999999994</v>
      </c>
      <c r="U51" s="2"/>
      <c r="V51" s="8">
        <f t="shared" si="43"/>
        <v>0</v>
      </c>
      <c r="W51" s="2"/>
      <c r="X51" s="7">
        <f t="shared" si="44"/>
        <v>-78.599999999999994</v>
      </c>
      <c r="Y51" s="2"/>
      <c r="Z51" s="8">
        <f t="shared" si="45"/>
        <v>-1</v>
      </c>
    </row>
    <row r="52" spans="1:26" s="24" customFormat="1" hidden="1" outlineLevel="2" x14ac:dyDescent="0.3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7">
        <v>1665.08</v>
      </c>
      <c r="E52" s="2"/>
      <c r="F52" s="8">
        <f t="shared" si="38"/>
        <v>0.10838424110266716</v>
      </c>
      <c r="G52" s="2"/>
      <c r="H52" s="7">
        <v>342</v>
      </c>
      <c r="I52" s="2"/>
      <c r="J52" s="8">
        <f t="shared" si="39"/>
        <v>0</v>
      </c>
      <c r="K52" s="2"/>
      <c r="L52" s="7">
        <f t="shared" si="40"/>
        <v>1323.08</v>
      </c>
      <c r="M52" s="2"/>
      <c r="N52" s="8">
        <f t="shared" si="41"/>
        <v>3.8686549707602338</v>
      </c>
      <c r="O52" s="11"/>
      <c r="P52" s="7">
        <v>1796.03</v>
      </c>
      <c r="Q52" s="2"/>
      <c r="R52" s="8">
        <f t="shared" si="42"/>
        <v>0.11690810564514817</v>
      </c>
      <c r="S52" s="2"/>
      <c r="T52" s="7">
        <v>342</v>
      </c>
      <c r="U52" s="2"/>
      <c r="V52" s="8">
        <f t="shared" si="43"/>
        <v>0</v>
      </c>
      <c r="W52" s="2"/>
      <c r="X52" s="7">
        <f t="shared" si="44"/>
        <v>1454.03</v>
      </c>
      <c r="Y52" s="2"/>
      <c r="Z52" s="8">
        <f t="shared" si="45"/>
        <v>4.2515497076023392</v>
      </c>
    </row>
    <row r="53" spans="1:26" s="28" customFormat="1" outlineLevel="1" collapsed="1" x14ac:dyDescent="0.3">
      <c r="A53" s="29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884.73</v>
      </c>
      <c r="E53" s="1"/>
      <c r="F53" s="5">
        <f t="shared" ref="F53:F56" si="46">IF(D$12=0,0,D53/D$12)</f>
        <v>5.758929879090658E-2</v>
      </c>
      <c r="G53" s="1"/>
      <c r="H53" s="1">
        <f>SUM(OSRRefH22_9x_0)</f>
        <v>0</v>
      </c>
      <c r="I53" s="1"/>
      <c r="J53" s="5">
        <f t="shared" ref="J53:J56" si="47">IF(H$12=0,0,H53/H$12)</f>
        <v>0</v>
      </c>
      <c r="K53" s="1"/>
      <c r="L53" s="1">
        <f t="shared" ref="L53:L56" si="48">+D53-H53</f>
        <v>884.73</v>
      </c>
      <c r="M53" s="1"/>
      <c r="N53" s="5">
        <f t="shared" ref="N53:N56" si="49">IF(H53=0,0,L53/H53)</f>
        <v>0</v>
      </c>
      <c r="O53" s="14"/>
      <c r="P53" s="1">
        <f>SUM(OSRRefP22_9x_0)</f>
        <v>928.52</v>
      </c>
      <c r="Q53" s="1"/>
      <c r="R53" s="5">
        <f t="shared" ref="R53:R56" si="50">IF(P$12=0,0,P53/P$12)</f>
        <v>6.0439699923516298E-2</v>
      </c>
      <c r="S53" s="1"/>
      <c r="T53" s="1">
        <f>SUM(OSRRefT22_9x_0)</f>
        <v>0</v>
      </c>
      <c r="U53" s="1"/>
      <c r="V53" s="5">
        <f t="shared" ref="V53:V56" si="51">IF(T$12=0,0,T53/T$12)</f>
        <v>0</v>
      </c>
      <c r="W53" s="1"/>
      <c r="X53" s="1">
        <f t="shared" ref="X53:X56" si="52">+P53-T53</f>
        <v>928.52</v>
      </c>
      <c r="Y53" s="1"/>
      <c r="Z53" s="5">
        <f t="shared" ref="Z53:Z56" si="53">IF(T53=0,0,X53/T53)</f>
        <v>0</v>
      </c>
    </row>
    <row r="54" spans="1:26" s="24" customFormat="1" hidden="1" outlineLevel="2" x14ac:dyDescent="0.3">
      <c r="A54" s="27"/>
      <c r="B54" s="11" t="str">
        <f>CONCATENATE("          ", "6237", " - ", "JANITORIAL SUPPLIES")</f>
        <v xml:space="preserve">          6237 - JANITORIAL SUPPLIES</v>
      </c>
      <c r="C54" s="11"/>
      <c r="D54" s="7">
        <v>48.12</v>
      </c>
      <c r="E54" s="2"/>
      <c r="F54" s="8">
        <f t="shared" si="46"/>
        <v>3.1322517127467409E-3</v>
      </c>
      <c r="G54" s="2"/>
      <c r="H54" s="7"/>
      <c r="I54" s="2"/>
      <c r="J54" s="8">
        <f t="shared" si="47"/>
        <v>0</v>
      </c>
      <c r="K54" s="2"/>
      <c r="L54" s="7">
        <f t="shared" si="48"/>
        <v>48.12</v>
      </c>
      <c r="M54" s="2"/>
      <c r="N54" s="8">
        <f t="shared" si="49"/>
        <v>0</v>
      </c>
      <c r="O54" s="11"/>
      <c r="P54" s="7">
        <v>48.12</v>
      </c>
      <c r="Q54" s="2"/>
      <c r="R54" s="8">
        <f t="shared" si="50"/>
        <v>3.1322517127467409E-3</v>
      </c>
      <c r="S54" s="2"/>
      <c r="T54" s="7"/>
      <c r="U54" s="2"/>
      <c r="V54" s="8">
        <f t="shared" si="51"/>
        <v>0</v>
      </c>
      <c r="W54" s="2"/>
      <c r="X54" s="7">
        <f t="shared" si="52"/>
        <v>48.12</v>
      </c>
      <c r="Y54" s="2"/>
      <c r="Z54" s="8">
        <f t="shared" si="53"/>
        <v>0</v>
      </c>
    </row>
    <row r="55" spans="1:26" s="24" customFormat="1" hidden="1" outlineLevel="2" x14ac:dyDescent="0.3">
      <c r="A55" s="27"/>
      <c r="B55" s="11" t="str">
        <f>CONCATENATE("          ", "6241", " - ", "OFFICE EXPENSE")</f>
        <v xml:space="preserve">          6241 - OFFICE EXPENSE</v>
      </c>
      <c r="C55" s="11"/>
      <c r="D55" s="7">
        <v>636.61</v>
      </c>
      <c r="E55" s="2"/>
      <c r="F55" s="8">
        <f t="shared" si="46"/>
        <v>4.1438544531415274E-2</v>
      </c>
      <c r="G55" s="2"/>
      <c r="H55" s="7"/>
      <c r="I55" s="2"/>
      <c r="J55" s="8">
        <f t="shared" si="47"/>
        <v>0</v>
      </c>
      <c r="K55" s="2"/>
      <c r="L55" s="7">
        <f t="shared" si="48"/>
        <v>636.61</v>
      </c>
      <c r="M55" s="2"/>
      <c r="N55" s="8">
        <f t="shared" si="49"/>
        <v>0</v>
      </c>
      <c r="O55" s="11"/>
      <c r="P55" s="7">
        <v>680.4</v>
      </c>
      <c r="Q55" s="2"/>
      <c r="R55" s="8">
        <f t="shared" si="50"/>
        <v>4.4288945664024991E-2</v>
      </c>
      <c r="S55" s="2"/>
      <c r="T55" s="7"/>
      <c r="U55" s="2"/>
      <c r="V55" s="8">
        <f t="shared" si="51"/>
        <v>0</v>
      </c>
      <c r="W55" s="2"/>
      <c r="X55" s="7">
        <f t="shared" si="52"/>
        <v>680.4</v>
      </c>
      <c r="Y55" s="2"/>
      <c r="Z55" s="8">
        <f t="shared" si="53"/>
        <v>0</v>
      </c>
    </row>
    <row r="56" spans="1:26" s="24" customFormat="1" hidden="1" outlineLevel="2" x14ac:dyDescent="0.3">
      <c r="A56" s="27"/>
      <c r="B56" s="11" t="str">
        <f>CONCATENATE("          ", "6247", " - ", "STORE SUPPLIES")</f>
        <v xml:space="preserve">          6247 - STORE SUPPLIES</v>
      </c>
      <c r="C56" s="11"/>
      <c r="D56" s="7">
        <v>200</v>
      </c>
      <c r="E56" s="2"/>
      <c r="F56" s="8">
        <f t="shared" si="46"/>
        <v>1.3018502546744561E-2</v>
      </c>
      <c r="G56" s="2"/>
      <c r="H56" s="7"/>
      <c r="I56" s="2"/>
      <c r="J56" s="8">
        <f t="shared" si="47"/>
        <v>0</v>
      </c>
      <c r="K56" s="2"/>
      <c r="L56" s="7">
        <f t="shared" si="48"/>
        <v>200</v>
      </c>
      <c r="M56" s="2"/>
      <c r="N56" s="8">
        <f t="shared" si="49"/>
        <v>0</v>
      </c>
      <c r="O56" s="11"/>
      <c r="P56" s="7">
        <v>200</v>
      </c>
      <c r="Q56" s="2"/>
      <c r="R56" s="8">
        <f t="shared" si="50"/>
        <v>1.3018502546744561E-2</v>
      </c>
      <c r="S56" s="2"/>
      <c r="T56" s="7"/>
      <c r="U56" s="2"/>
      <c r="V56" s="8">
        <f t="shared" si="51"/>
        <v>0</v>
      </c>
      <c r="W56" s="2"/>
      <c r="X56" s="7">
        <f t="shared" si="52"/>
        <v>200</v>
      </c>
      <c r="Y56" s="2"/>
      <c r="Z56" s="8">
        <f t="shared" si="53"/>
        <v>0</v>
      </c>
    </row>
    <row r="57" spans="1:26" s="28" customFormat="1" outlineLevel="1" collapsed="1" x14ac:dyDescent="0.3">
      <c r="A57" s="29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150</v>
      </c>
      <c r="E57" s="1"/>
      <c r="F57" s="5">
        <f t="shared" ref="F57:F60" si="54">IF(D$12=0,0,D57/D$12)</f>
        <v>9.7638769100584204E-3</v>
      </c>
      <c r="G57" s="1"/>
      <c r="H57" s="1">
        <f>SUM(OSRRefH22_10x_0)</f>
        <v>46</v>
      </c>
      <c r="I57" s="1"/>
      <c r="J57" s="5">
        <f t="shared" ref="J57:J60" si="55">IF(H$12=0,0,H57/H$12)</f>
        <v>0</v>
      </c>
      <c r="K57" s="1"/>
      <c r="L57" s="1">
        <f t="shared" ref="L57:L60" si="56">+D57-H57</f>
        <v>104</v>
      </c>
      <c r="M57" s="1"/>
      <c r="N57" s="5">
        <f t="shared" ref="N57:N60" si="57">IF(H57=0,0,L57/H57)</f>
        <v>2.2608695652173911</v>
      </c>
      <c r="O57" s="14"/>
      <c r="P57" s="1">
        <f>SUM(OSRRefP22_10x_0)</f>
        <v>300</v>
      </c>
      <c r="Q57" s="1"/>
      <c r="R57" s="5">
        <f t="shared" ref="R57:R60" si="58">IF(P$12=0,0,P57/P$12)</f>
        <v>1.9527753820116841E-2</v>
      </c>
      <c r="S57" s="1"/>
      <c r="T57" s="1">
        <f>SUM(OSRRefT22_10x_0)</f>
        <v>69</v>
      </c>
      <c r="U57" s="1"/>
      <c r="V57" s="5">
        <f t="shared" ref="V57:V60" si="59">IF(T$12=0,0,T57/T$12)</f>
        <v>0</v>
      </c>
      <c r="W57" s="1"/>
      <c r="X57" s="1">
        <f t="shared" ref="X57:X60" si="60">+P57-T57</f>
        <v>231</v>
      </c>
      <c r="Y57" s="1"/>
      <c r="Z57" s="5">
        <f t="shared" ref="Z57:Z60" si="61">IF(T57=0,0,X57/T57)</f>
        <v>3.347826086956522</v>
      </c>
    </row>
    <row r="58" spans="1:26" s="24" customFormat="1" hidden="1" outlineLevel="2" x14ac:dyDescent="0.3">
      <c r="A58" s="27"/>
      <c r="B58" s="11" t="str">
        <f>CONCATENATE("          ", "6309", " - ", "TELEPHONE")</f>
        <v xml:space="preserve">          6309 - TELEPHONE</v>
      </c>
      <c r="C58" s="11"/>
      <c r="D58" s="7">
        <v>150</v>
      </c>
      <c r="E58" s="2"/>
      <c r="F58" s="8">
        <f t="shared" si="54"/>
        <v>9.7638769100584204E-3</v>
      </c>
      <c r="G58" s="2"/>
      <c r="H58" s="7">
        <v>46</v>
      </c>
      <c r="I58" s="2"/>
      <c r="J58" s="8">
        <f t="shared" si="55"/>
        <v>0</v>
      </c>
      <c r="K58" s="2"/>
      <c r="L58" s="7">
        <f t="shared" si="56"/>
        <v>104</v>
      </c>
      <c r="M58" s="2"/>
      <c r="N58" s="8">
        <f t="shared" si="57"/>
        <v>2.2608695652173911</v>
      </c>
      <c r="O58" s="11"/>
      <c r="P58" s="7">
        <v>300</v>
      </c>
      <c r="Q58" s="2"/>
      <c r="R58" s="8">
        <f t="shared" si="58"/>
        <v>1.9527753820116841E-2</v>
      </c>
      <c r="S58" s="2"/>
      <c r="T58" s="7">
        <v>69</v>
      </c>
      <c r="U58" s="2"/>
      <c r="V58" s="8">
        <f t="shared" si="59"/>
        <v>0</v>
      </c>
      <c r="W58" s="2"/>
      <c r="X58" s="7">
        <f t="shared" si="60"/>
        <v>231</v>
      </c>
      <c r="Y58" s="2"/>
      <c r="Z58" s="8">
        <f t="shared" si="61"/>
        <v>3.347826086956522</v>
      </c>
    </row>
    <row r="59" spans="1:26" s="28" customFormat="1" outlineLevel="1" collapsed="1" x14ac:dyDescent="0.3">
      <c r="A59" s="29"/>
      <c r="B59" s="14" t="str">
        <f>CONCATENATE("     ","Utilities                                         ")</f>
        <v xml:space="preserve">     Utilities                                         </v>
      </c>
      <c r="C59" s="14"/>
      <c r="D59" s="1">
        <f>SUM(OSRRefD22_11x_0)</f>
        <v>200</v>
      </c>
      <c r="E59" s="1"/>
      <c r="F59" s="5">
        <f t="shared" si="54"/>
        <v>1.3018502546744561E-2</v>
      </c>
      <c r="G59" s="1"/>
      <c r="H59" s="1">
        <f>SUM(OSRRefH22_11x_0)</f>
        <v>0</v>
      </c>
      <c r="I59" s="1"/>
      <c r="J59" s="5">
        <f t="shared" si="55"/>
        <v>0</v>
      </c>
      <c r="K59" s="1"/>
      <c r="L59" s="1">
        <f t="shared" si="56"/>
        <v>200</v>
      </c>
      <c r="M59" s="1"/>
      <c r="N59" s="5">
        <f t="shared" si="57"/>
        <v>0</v>
      </c>
      <c r="O59" s="14"/>
      <c r="P59" s="1">
        <f>SUM(OSRRefP22_11x_0)</f>
        <v>400</v>
      </c>
      <c r="Q59" s="1"/>
      <c r="R59" s="5">
        <f t="shared" si="58"/>
        <v>2.6037005093489121E-2</v>
      </c>
      <c r="S59" s="1"/>
      <c r="T59" s="1">
        <f>SUM(OSRRefT22_11x_0)</f>
        <v>0</v>
      </c>
      <c r="U59" s="1"/>
      <c r="V59" s="5">
        <f t="shared" si="59"/>
        <v>0</v>
      </c>
      <c r="W59" s="1"/>
      <c r="X59" s="1">
        <f t="shared" si="60"/>
        <v>400</v>
      </c>
      <c r="Y59" s="1"/>
      <c r="Z59" s="5">
        <f t="shared" si="61"/>
        <v>0</v>
      </c>
    </row>
    <row r="60" spans="1:26" s="24" customFormat="1" hidden="1" outlineLevel="2" x14ac:dyDescent="0.3">
      <c r="A60" s="27"/>
      <c r="B60" s="11" t="str">
        <f>CONCATENATE("          ", "6274", " - ", "UTILITIES")</f>
        <v xml:space="preserve">          6274 - UTILITIES</v>
      </c>
      <c r="C60" s="11"/>
      <c r="D60" s="7">
        <v>200</v>
      </c>
      <c r="E60" s="2"/>
      <c r="F60" s="8">
        <f t="shared" si="54"/>
        <v>1.3018502546744561E-2</v>
      </c>
      <c r="G60" s="2"/>
      <c r="H60" s="7"/>
      <c r="I60" s="2"/>
      <c r="J60" s="8">
        <f t="shared" si="55"/>
        <v>0</v>
      </c>
      <c r="K60" s="2"/>
      <c r="L60" s="7">
        <f t="shared" si="56"/>
        <v>200</v>
      </c>
      <c r="M60" s="2"/>
      <c r="N60" s="8">
        <f t="shared" si="57"/>
        <v>0</v>
      </c>
      <c r="O60" s="11"/>
      <c r="P60" s="7">
        <v>400</v>
      </c>
      <c r="Q60" s="2"/>
      <c r="R60" s="8">
        <f t="shared" si="58"/>
        <v>2.6037005093489121E-2</v>
      </c>
      <c r="S60" s="2"/>
      <c r="T60" s="7"/>
      <c r="U60" s="2"/>
      <c r="V60" s="8">
        <f t="shared" si="59"/>
        <v>0</v>
      </c>
      <c r="W60" s="2"/>
      <c r="X60" s="7">
        <f t="shared" si="60"/>
        <v>400</v>
      </c>
      <c r="Y60" s="2"/>
      <c r="Z60" s="8">
        <f t="shared" si="61"/>
        <v>0</v>
      </c>
    </row>
    <row r="61" spans="1:26" s="61" customFormat="1" x14ac:dyDescent="0.3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3">
      <c r="A62" s="10"/>
      <c r="B62" s="26" t="s">
        <v>292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">
      <c r="A63" s="9"/>
      <c r="B63" s="10"/>
      <c r="C63" s="10"/>
      <c r="D63" s="3"/>
      <c r="E63" s="3"/>
      <c r="F63" s="6"/>
      <c r="G63" s="3"/>
      <c r="H63" s="3"/>
      <c r="I63" s="3"/>
      <c r="J63" s="6"/>
      <c r="K63" s="3"/>
      <c r="L63" s="3"/>
      <c r="M63" s="3"/>
      <c r="N63" s="6"/>
      <c r="O63" s="10"/>
      <c r="P63" s="3"/>
      <c r="Q63" s="3"/>
      <c r="R63" s="6"/>
      <c r="S63" s="3"/>
      <c r="T63" s="3"/>
      <c r="U63" s="3"/>
      <c r="V63" s="6"/>
      <c r="W63" s="3"/>
      <c r="X63" s="3"/>
      <c r="Y63" s="3"/>
      <c r="Z63" s="6"/>
    </row>
    <row r="64" spans="1:26" s="23" customFormat="1" x14ac:dyDescent="0.3">
      <c r="A64" s="10"/>
      <c r="B64" s="25" t="s">
        <v>276</v>
      </c>
      <c r="C64" s="25"/>
      <c r="D64" s="20">
        <f>+D20-D22+D62</f>
        <v>-19676.919999999998</v>
      </c>
      <c r="E64" s="13"/>
      <c r="F64" s="22">
        <f>IF(D$12=0,0,D64/D$12)</f>
        <v>-1.2808201656604448</v>
      </c>
      <c r="G64" s="13"/>
      <c r="H64" s="20">
        <f>+H20-H22+H62</f>
        <v>-4682.1000000000004</v>
      </c>
      <c r="I64" s="13"/>
      <c r="J64" s="22">
        <f>IF(H$12=0,0,H64/H$12)</f>
        <v>0</v>
      </c>
      <c r="K64" s="15"/>
      <c r="L64" s="20">
        <f>+D64-H64</f>
        <v>-14994.819999999998</v>
      </c>
      <c r="M64" s="15"/>
      <c r="N64" s="22">
        <f>IF(H64=0,0,L64/H64)</f>
        <v>3.2025843104589815</v>
      </c>
      <c r="O64" s="26"/>
      <c r="P64" s="20">
        <f>+P20-P22+P62</f>
        <v>-32960.950000000012</v>
      </c>
      <c r="Q64" s="13"/>
      <c r="R64" s="22">
        <f>IF(P$12=0,0,P64/P$12)</f>
        <v>-2.1455110575906016</v>
      </c>
      <c r="S64" s="13"/>
      <c r="T64" s="20">
        <f>+T20-T22+T62</f>
        <v>-11149.7</v>
      </c>
      <c r="U64" s="13"/>
      <c r="V64" s="22">
        <f>IF(T$12=0,0,T64/T$12)</f>
        <v>0</v>
      </c>
      <c r="W64" s="15"/>
      <c r="X64" s="20">
        <f>+P64-T64</f>
        <v>-21811.250000000011</v>
      </c>
      <c r="Y64" s="15"/>
      <c r="Z64" s="22">
        <f>IF(T64=0,0,X64/T64)</f>
        <v>1.9562185529655516</v>
      </c>
    </row>
    <row r="65" spans="1:26" x14ac:dyDescent="0.3">
      <c r="A65" s="9"/>
      <c r="B65" s="10"/>
      <c r="C65" s="9"/>
      <c r="D65" s="3"/>
      <c r="E65" s="3"/>
      <c r="F65" s="6"/>
      <c r="G65" s="3"/>
      <c r="H65" s="3"/>
      <c r="I65" s="3"/>
      <c r="J65" s="6"/>
      <c r="K65" s="3"/>
      <c r="L65" s="3"/>
      <c r="M65" s="3"/>
      <c r="N65" s="6"/>
      <c r="P65" s="3"/>
      <c r="Q65" s="3"/>
      <c r="R65" s="6"/>
      <c r="S65" s="3"/>
      <c r="T65" s="3"/>
      <c r="U65" s="3"/>
      <c r="V65" s="6"/>
      <c r="W65" s="3"/>
      <c r="X65" s="3"/>
      <c r="Y65" s="3"/>
      <c r="Z65" s="6"/>
    </row>
    <row r="66" spans="1:26" s="23" customFormat="1" x14ac:dyDescent="0.3">
      <c r="A66" s="51"/>
      <c r="B66" s="10" t="s">
        <v>127</v>
      </c>
      <c r="C66" s="10"/>
      <c r="D66" s="4">
        <v>2295.6999999999998</v>
      </c>
      <c r="E66" s="4"/>
      <c r="F66" s="12">
        <f>IF(D$12=0,0,D66/D$12)</f>
        <v>0.14943288148280742</v>
      </c>
      <c r="G66" s="4"/>
      <c r="H66" s="4"/>
      <c r="I66" s="4"/>
      <c r="J66" s="12">
        <f>IF(H$12=0,0,H66/H$12)</f>
        <v>0</v>
      </c>
      <c r="K66" s="4"/>
      <c r="L66" s="4">
        <f>+D66-H66</f>
        <v>2295.6999999999998</v>
      </c>
      <c r="M66" s="4"/>
      <c r="N66" s="12">
        <f>IF(H66=0,0,L66/H66)</f>
        <v>0</v>
      </c>
      <c r="O66" s="10"/>
      <c r="P66" s="4">
        <v>2295.6999999999998</v>
      </c>
      <c r="Q66" s="4"/>
      <c r="R66" s="12">
        <f>IF(P$12=0,0,P66/P$12)</f>
        <v>0.14943288148280742</v>
      </c>
      <c r="S66" s="4"/>
      <c r="T66" s="4"/>
      <c r="U66" s="4"/>
      <c r="V66" s="12">
        <f>IF(T$12=0,0,T66/T$12)</f>
        <v>0</v>
      </c>
      <c r="W66" s="4"/>
      <c r="X66" s="4">
        <f>+P66-T66</f>
        <v>2295.6999999999998</v>
      </c>
      <c r="Y66" s="4"/>
      <c r="Z66" s="12">
        <f>IF(T66=0,0,X66/T66)</f>
        <v>0</v>
      </c>
    </row>
    <row r="67" spans="1:26" x14ac:dyDescent="0.3">
      <c r="A67" s="9"/>
      <c r="B67" s="10"/>
      <c r="C67" s="10"/>
      <c r="D67" s="3"/>
      <c r="E67" s="3"/>
      <c r="F67" s="6"/>
      <c r="G67" s="3"/>
      <c r="H67" s="3"/>
      <c r="I67" s="3"/>
      <c r="J67" s="6"/>
      <c r="K67" s="3"/>
      <c r="L67" s="3"/>
      <c r="M67" s="3"/>
      <c r="N67" s="6"/>
      <c r="O67" s="10"/>
      <c r="P67" s="3"/>
      <c r="Q67" s="3"/>
      <c r="R67" s="6"/>
      <c r="S67" s="3"/>
      <c r="T67" s="3"/>
      <c r="U67" s="3"/>
      <c r="V67" s="6"/>
      <c r="W67" s="3"/>
      <c r="X67" s="3"/>
      <c r="Y67" s="3"/>
      <c r="Z67" s="6"/>
    </row>
    <row r="68" spans="1:26" s="23" customFormat="1" ht="15" thickBot="1" x14ac:dyDescent="0.35">
      <c r="A68" s="10"/>
      <c r="B68" s="25" t="s">
        <v>125</v>
      </c>
      <c r="C68" s="25"/>
      <c r="D68" s="33">
        <f>+D64-D66</f>
        <v>-21972.62</v>
      </c>
      <c r="E68" s="13"/>
      <c r="F68" s="36">
        <f>IF(D$12=0,0,D68/D$12)</f>
        <v>-1.4302530471432522</v>
      </c>
      <c r="G68" s="13"/>
      <c r="H68" s="33">
        <f>+H64-H66</f>
        <v>-4682.1000000000004</v>
      </c>
      <c r="I68" s="13"/>
      <c r="J68" s="36">
        <f>IF(H$12=0,0,H68/H$12)</f>
        <v>0</v>
      </c>
      <c r="K68" s="15"/>
      <c r="L68" s="33">
        <f>D68-H68</f>
        <v>-17290.519999999997</v>
      </c>
      <c r="M68" s="15"/>
      <c r="N68" s="36">
        <f>IF(H68=0,0,L68/H68)</f>
        <v>3.6928984857222176</v>
      </c>
      <c r="O68" s="26"/>
      <c r="P68" s="33">
        <f>+P64-P66</f>
        <v>-35256.650000000009</v>
      </c>
      <c r="Q68" s="13"/>
      <c r="R68" s="36">
        <f>IF(P$12=0,0,P68/P$12)</f>
        <v>-2.2949439390734088</v>
      </c>
      <c r="S68" s="13"/>
      <c r="T68" s="33">
        <f>+T64-T66</f>
        <v>-11149.7</v>
      </c>
      <c r="U68" s="13"/>
      <c r="V68" s="36">
        <f>IF(T$12=0,0,T68/T$12)</f>
        <v>0</v>
      </c>
      <c r="W68" s="15"/>
      <c r="X68" s="33">
        <f>P68-T68</f>
        <v>-24106.950000000008</v>
      </c>
      <c r="Y68" s="15"/>
      <c r="Z68" s="36">
        <f>IF(T68=0,0,X68/T68)</f>
        <v>2.1621164695014223</v>
      </c>
    </row>
    <row r="69" spans="1:26" ht="15" thickTop="1" x14ac:dyDescent="0.3">
      <c r="A69" s="9"/>
      <c r="B69" s="9"/>
      <c r="C69" s="9"/>
      <c r="D69" s="3"/>
      <c r="E69" s="3"/>
      <c r="F69" s="6"/>
      <c r="G69" s="3"/>
      <c r="H69" s="3"/>
      <c r="I69" s="3"/>
      <c r="J69" s="6"/>
      <c r="K69" s="3"/>
      <c r="L69" s="3"/>
      <c r="M69" s="3"/>
      <c r="N69" s="6"/>
      <c r="P69" s="3"/>
      <c r="Q69" s="3"/>
      <c r="R69" s="6"/>
      <c r="S69" s="3"/>
      <c r="T69" s="3"/>
      <c r="U69" s="3"/>
      <c r="V69" s="6"/>
      <c r="W69" s="3"/>
      <c r="X69" s="3"/>
      <c r="Y69" s="3"/>
      <c r="Z69" s="6"/>
    </row>
    <row r="70" spans="1:26" x14ac:dyDescent="0.3">
      <c r="A70" s="9"/>
      <c r="B70" s="9"/>
      <c r="C70" s="9"/>
      <c r="D70" s="3"/>
      <c r="E70" s="3"/>
      <c r="F70" s="6"/>
      <c r="G70" s="3"/>
      <c r="H70" s="3"/>
      <c r="I70" s="3"/>
      <c r="J70" s="6"/>
      <c r="K70" s="3"/>
      <c r="L70" s="3"/>
      <c r="M70" s="3"/>
      <c r="N70" s="6"/>
      <c r="P70" s="3"/>
      <c r="Q70" s="3"/>
      <c r="R70" s="6"/>
      <c r="S70" s="3"/>
      <c r="T70" s="3"/>
      <c r="U70" s="3"/>
      <c r="V70" s="6"/>
      <c r="W70" s="3"/>
      <c r="X70" s="3"/>
      <c r="Y70" s="3"/>
      <c r="Z70" s="6"/>
    </row>
    <row r="71" spans="1:26" s="23" customFormat="1" ht="15" thickBot="1" x14ac:dyDescent="0.35">
      <c r="A71" s="10"/>
      <c r="B71" s="25" t="s">
        <v>293</v>
      </c>
      <c r="C71" s="25"/>
      <c r="D71" s="30">
        <f>SUM(D68:D70)</f>
        <v>-21972.62</v>
      </c>
      <c r="E71" s="13"/>
      <c r="F71" s="31">
        <f>IF(D$12=0,0,D71/D$12)</f>
        <v>-1.4302530471432522</v>
      </c>
      <c r="G71" s="13"/>
      <c r="H71" s="30">
        <f>SUM(H68:H70)</f>
        <v>-4682.1000000000004</v>
      </c>
      <c r="I71" s="13"/>
      <c r="J71" s="31">
        <f>IF(H$12=0,0,H71/H$12)</f>
        <v>0</v>
      </c>
      <c r="K71" s="15"/>
      <c r="L71" s="30">
        <f>+D71-H71</f>
        <v>-17290.519999999997</v>
      </c>
      <c r="M71" s="15"/>
      <c r="N71" s="31">
        <f>IF(H71=0,0,L71/H71)</f>
        <v>3.6928984857222176</v>
      </c>
      <c r="O71" s="26"/>
      <c r="P71" s="30">
        <f>SUM(P68:P70)</f>
        <v>-35256.650000000009</v>
      </c>
      <c r="Q71" s="13"/>
      <c r="R71" s="31">
        <f>IF(P$12=0,0,P71/P$12)</f>
        <v>-2.2949439390734088</v>
      </c>
      <c r="S71" s="13"/>
      <c r="T71" s="30">
        <f>SUM(T68:T70)</f>
        <v>-11149.7</v>
      </c>
      <c r="U71" s="13"/>
      <c r="V71" s="31">
        <f>IF(T$12=0,0,T71/T$12)</f>
        <v>0</v>
      </c>
      <c r="W71" s="15"/>
      <c r="X71" s="30">
        <f>+P71-T71</f>
        <v>-24106.950000000008</v>
      </c>
      <c r="Y71" s="15"/>
      <c r="Z71" s="31">
        <f>IF(T71=0,0,X71/T71)</f>
        <v>2.1621164695014223</v>
      </c>
    </row>
    <row r="72" spans="1:26" ht="15" thickTop="1" x14ac:dyDescent="0.3">
      <c r="A72" s="9"/>
      <c r="C72" s="9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3">
      <c r="A73" s="9"/>
      <c r="B73" s="59">
        <v>44470.840542939812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3">
      <c r="A74" s="9"/>
      <c r="B74" s="58" t="s">
        <v>56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3">
      <c r="A75" s="9"/>
      <c r="B75" s="52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","406", " - ", "OPA! Greek")</f>
        <v>Department 406 - OPA! Greek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0</v>
      </c>
      <c r="E18" s="21"/>
      <c r="F18" s="32">
        <f t="shared" ref="F18:F28" si="0">IF(D$12=0,0,D18/D$12)</f>
        <v>0</v>
      </c>
      <c r="G18" s="21"/>
      <c r="H18" s="21">
        <f>SUM(OSRRefH22x_0)</f>
        <v>234.14999999999998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-234.14999999999998</v>
      </c>
      <c r="M18" s="4"/>
      <c r="N18" s="32">
        <f t="shared" ref="N18:N28" si="3">IF(H18=0,0,L18/H18)</f>
        <v>-1</v>
      </c>
      <c r="O18" s="10"/>
      <c r="P18" s="21">
        <f>SUM(OSRRefP22x_0)</f>
        <v>0</v>
      </c>
      <c r="Q18" s="21"/>
      <c r="R18" s="32">
        <f t="shared" ref="R18:R28" si="4">IF(P$12=0,0,P18/P$12)</f>
        <v>0</v>
      </c>
      <c r="S18" s="21"/>
      <c r="T18" s="21">
        <f>SUM(OSRRefT22x_0)</f>
        <v>1114.52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-1114.52</v>
      </c>
      <c r="Y18" s="4"/>
      <c r="Z18" s="32">
        <f t="shared" ref="Z18:Z28" si="7">IF(T18=0,0,X18/T18)</f>
        <v>-1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8">
        <f t="shared" si="0"/>
        <v>0</v>
      </c>
      <c r="G20" s="2"/>
      <c r="H20" s="7"/>
      <c r="I20" s="2"/>
      <c r="J20" s="8">
        <f t="shared" si="1"/>
        <v>0</v>
      </c>
      <c r="K20" s="2"/>
      <c r="L20" s="7">
        <f t="shared" si="2"/>
        <v>0</v>
      </c>
      <c r="M20" s="2"/>
      <c r="N20" s="8">
        <f t="shared" si="3"/>
        <v>0</v>
      </c>
      <c r="O20" s="11"/>
      <c r="P20" s="7"/>
      <c r="Q20" s="2"/>
      <c r="R20" s="8">
        <f t="shared" si="4"/>
        <v>0</v>
      </c>
      <c r="S20" s="2"/>
      <c r="T20" s="7">
        <v>660.8</v>
      </c>
      <c r="U20" s="2"/>
      <c r="V20" s="8">
        <f t="shared" si="5"/>
        <v>0</v>
      </c>
      <c r="W20" s="2"/>
      <c r="X20" s="7">
        <f t="shared" si="6"/>
        <v>-660.8</v>
      </c>
      <c r="Y20" s="2"/>
      <c r="Z20" s="8">
        <f t="shared" si="7"/>
        <v>-1</v>
      </c>
    </row>
    <row r="21" spans="1:26" s="28" customFormat="1" outlineLevel="1" collapsed="1" x14ac:dyDescent="0.3">
      <c r="A21" s="29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239.1</v>
      </c>
      <c r="U21" s="1"/>
      <c r="V21" s="5">
        <f t="shared" si="5"/>
        <v>0</v>
      </c>
      <c r="W21" s="1"/>
      <c r="X21" s="1">
        <f t="shared" si="6"/>
        <v>-239.1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"6322", " - ", "EQUIPMENT DEPRECIATION EXPENSE")</f>
        <v xml:space="preserve">          6322 - EQUIPMENT DEPRECIATION EXPENSE</v>
      </c>
      <c r="C22" s="11"/>
      <c r="D22" s="7"/>
      <c r="E22" s="2"/>
      <c r="F22" s="8">
        <f t="shared" si="0"/>
        <v>0</v>
      </c>
      <c r="G22" s="2"/>
      <c r="H22" s="7">
        <v>119.55</v>
      </c>
      <c r="I22" s="2"/>
      <c r="J22" s="8">
        <f t="shared" si="1"/>
        <v>0</v>
      </c>
      <c r="K22" s="2"/>
      <c r="L22" s="7">
        <f t="shared" si="2"/>
        <v>-119.55</v>
      </c>
      <c r="M22" s="2"/>
      <c r="N22" s="8">
        <f t="shared" si="3"/>
        <v>-1</v>
      </c>
      <c r="O22" s="11"/>
      <c r="P22" s="7"/>
      <c r="Q22" s="2"/>
      <c r="R22" s="8">
        <f t="shared" si="4"/>
        <v>0</v>
      </c>
      <c r="S22" s="2"/>
      <c r="T22" s="7">
        <v>239.1</v>
      </c>
      <c r="U22" s="2"/>
      <c r="V22" s="8">
        <f t="shared" si="5"/>
        <v>0</v>
      </c>
      <c r="W22" s="2"/>
      <c r="X22" s="7">
        <f t="shared" si="6"/>
        <v>-239.1</v>
      </c>
      <c r="Y22" s="2"/>
      <c r="Z22" s="8">
        <f t="shared" si="7"/>
        <v>-1</v>
      </c>
    </row>
    <row r="23" spans="1:26" s="28" customFormat="1" outlineLevel="1" collapsed="1" x14ac:dyDescent="0.3">
      <c r="A23" s="29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8">
        <f t="shared" si="0"/>
        <v>0</v>
      </c>
      <c r="G24" s="2"/>
      <c r="H24" s="7"/>
      <c r="I24" s="2"/>
      <c r="J24" s="8">
        <f t="shared" si="1"/>
        <v>0</v>
      </c>
      <c r="K24" s="2"/>
      <c r="L24" s="7">
        <f t="shared" si="2"/>
        <v>0</v>
      </c>
      <c r="M24" s="2"/>
      <c r="N24" s="8">
        <f t="shared" si="3"/>
        <v>0</v>
      </c>
      <c r="O24" s="11"/>
      <c r="P24" s="7"/>
      <c r="Q24" s="2"/>
      <c r="R24" s="8">
        <f t="shared" si="4"/>
        <v>0</v>
      </c>
      <c r="S24" s="2"/>
      <c r="T24" s="7">
        <v>64.02</v>
      </c>
      <c r="U24" s="2"/>
      <c r="V24" s="8">
        <f t="shared" si="5"/>
        <v>0</v>
      </c>
      <c r="W24" s="2"/>
      <c r="X24" s="7">
        <f t="shared" si="6"/>
        <v>-64.02</v>
      </c>
      <c r="Y24" s="2"/>
      <c r="Z24" s="8">
        <f t="shared" si="7"/>
        <v>-1</v>
      </c>
    </row>
    <row r="25" spans="1:26" s="28" customFormat="1" outlineLevel="1" collapsed="1" x14ac:dyDescent="0.3">
      <c r="A25" s="29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78.599999999999994</v>
      </c>
      <c r="I25" s="1"/>
      <c r="J25" s="5">
        <f t="shared" si="1"/>
        <v>0</v>
      </c>
      <c r="K25" s="1"/>
      <c r="L25" s="1">
        <f t="shared" si="2"/>
        <v>-78.599999999999994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78.599999999999994</v>
      </c>
      <c r="U25" s="1"/>
      <c r="V25" s="5">
        <f t="shared" si="5"/>
        <v>0</v>
      </c>
      <c r="W25" s="1"/>
      <c r="X25" s="1">
        <f t="shared" si="6"/>
        <v>-78.599999999999994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1" t="str">
        <f>CONCATENATE("          ", "6373", " - ", "MAINTENANCE CONTRACTS")</f>
        <v xml:space="preserve">          6373 - MAINTENANCE CONTRACTS</v>
      </c>
      <c r="C26" s="11"/>
      <c r="D26" s="7"/>
      <c r="E26" s="2"/>
      <c r="F26" s="8">
        <f t="shared" si="0"/>
        <v>0</v>
      </c>
      <c r="G26" s="2"/>
      <c r="H26" s="7">
        <v>78.599999999999994</v>
      </c>
      <c r="I26" s="2"/>
      <c r="J26" s="8">
        <f t="shared" si="1"/>
        <v>0</v>
      </c>
      <c r="K26" s="2"/>
      <c r="L26" s="7">
        <f t="shared" si="2"/>
        <v>-78.599999999999994</v>
      </c>
      <c r="M26" s="2"/>
      <c r="N26" s="8">
        <f t="shared" si="3"/>
        <v>-1</v>
      </c>
      <c r="O26" s="11"/>
      <c r="P26" s="7"/>
      <c r="Q26" s="2"/>
      <c r="R26" s="8">
        <f t="shared" si="4"/>
        <v>0</v>
      </c>
      <c r="S26" s="2"/>
      <c r="T26" s="7">
        <v>78.599999999999994</v>
      </c>
      <c r="U26" s="2"/>
      <c r="V26" s="8">
        <f t="shared" si="5"/>
        <v>0</v>
      </c>
      <c r="W26" s="2"/>
      <c r="X26" s="7">
        <f t="shared" si="6"/>
        <v>-78.599999999999994</v>
      </c>
      <c r="Y26" s="2"/>
      <c r="Z26" s="8">
        <f t="shared" si="7"/>
        <v>-1</v>
      </c>
    </row>
    <row r="27" spans="1:26" s="28" customFormat="1" outlineLevel="1" collapsed="1" x14ac:dyDescent="0.3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36</v>
      </c>
      <c r="I27" s="1"/>
      <c r="J27" s="5">
        <f t="shared" si="1"/>
        <v>0</v>
      </c>
      <c r="K27" s="1"/>
      <c r="L27" s="1">
        <f t="shared" si="2"/>
        <v>-36</v>
      </c>
      <c r="M27" s="1"/>
      <c r="N27" s="5">
        <f t="shared" si="3"/>
        <v>-1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72</v>
      </c>
      <c r="U27" s="1"/>
      <c r="V27" s="5">
        <f t="shared" si="5"/>
        <v>0</v>
      </c>
      <c r="W27" s="1"/>
      <c r="X27" s="1">
        <f t="shared" si="6"/>
        <v>-72</v>
      </c>
      <c r="Y27" s="1"/>
      <c r="Z27" s="5">
        <f t="shared" si="7"/>
        <v>-1</v>
      </c>
    </row>
    <row r="28" spans="1:26" s="24" customFormat="1" hidden="1" outlineLevel="2" x14ac:dyDescent="0.3">
      <c r="A28" s="27"/>
      <c r="B28" s="11" t="str">
        <f>CONCATENATE("          ", "6309", " - ", "TELEPHONE")</f>
        <v xml:space="preserve">          6309 - TELEPHONE</v>
      </c>
      <c r="C28" s="11"/>
      <c r="D28" s="7"/>
      <c r="E28" s="2"/>
      <c r="F28" s="8">
        <f t="shared" si="0"/>
        <v>0</v>
      </c>
      <c r="G28" s="2"/>
      <c r="H28" s="7">
        <v>36</v>
      </c>
      <c r="I28" s="2"/>
      <c r="J28" s="8">
        <f t="shared" si="1"/>
        <v>0</v>
      </c>
      <c r="K28" s="2"/>
      <c r="L28" s="7">
        <f t="shared" si="2"/>
        <v>-36</v>
      </c>
      <c r="M28" s="2"/>
      <c r="N28" s="8">
        <f t="shared" si="3"/>
        <v>-1</v>
      </c>
      <c r="O28" s="11"/>
      <c r="P28" s="7"/>
      <c r="Q28" s="2"/>
      <c r="R28" s="8">
        <f t="shared" si="4"/>
        <v>0</v>
      </c>
      <c r="S28" s="2"/>
      <c r="T28" s="7">
        <v>72</v>
      </c>
      <c r="U28" s="2"/>
      <c r="V28" s="8">
        <f t="shared" si="5"/>
        <v>0</v>
      </c>
      <c r="W28" s="2"/>
      <c r="X28" s="7">
        <f t="shared" si="6"/>
        <v>-72</v>
      </c>
      <c r="Y28" s="2"/>
      <c r="Z28" s="8">
        <f t="shared" si="7"/>
        <v>-1</v>
      </c>
    </row>
    <row r="29" spans="1:26" s="61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O31" s="10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10"/>
      <c r="B32" s="25" t="s">
        <v>276</v>
      </c>
      <c r="C32" s="25"/>
      <c r="D32" s="20">
        <f>+D16-D18+D30</f>
        <v>0</v>
      </c>
      <c r="E32" s="13"/>
      <c r="F32" s="22">
        <f>IF(D$12=0,0,D32/D$12)</f>
        <v>0</v>
      </c>
      <c r="G32" s="13"/>
      <c r="H32" s="20">
        <f>+H16-H18+H30</f>
        <v>-234.14999999999998</v>
      </c>
      <c r="I32" s="13"/>
      <c r="J32" s="22">
        <f>IF(H$12=0,0,H32/H$12)</f>
        <v>0</v>
      </c>
      <c r="K32" s="15"/>
      <c r="L32" s="20">
        <f>+D32-H32</f>
        <v>234.14999999999998</v>
      </c>
      <c r="M32" s="15"/>
      <c r="N32" s="22">
        <f>IF(H32=0,0,L32/H32)</f>
        <v>-1</v>
      </c>
      <c r="O32" s="26"/>
      <c r="P32" s="20">
        <f>+P16-P18+P30</f>
        <v>0</v>
      </c>
      <c r="Q32" s="13"/>
      <c r="R32" s="22">
        <f>IF(P$12=0,0,P32/P$12)</f>
        <v>0</v>
      </c>
      <c r="S32" s="13"/>
      <c r="T32" s="20">
        <f>+T16-T18+T30</f>
        <v>-1114.52</v>
      </c>
      <c r="U32" s="13"/>
      <c r="V32" s="22">
        <f>IF(T$12=0,0,T32/T$12)</f>
        <v>0</v>
      </c>
      <c r="W32" s="15"/>
      <c r="X32" s="20">
        <f>+P32-T32</f>
        <v>1114.52</v>
      </c>
      <c r="Y32" s="15"/>
      <c r="Z32" s="22">
        <f>IF(T32=0,0,X32/T32)</f>
        <v>-1</v>
      </c>
    </row>
    <row r="33" spans="1:26" x14ac:dyDescent="0.3">
      <c r="A33" s="9"/>
      <c r="B33" s="10"/>
      <c r="C33" s="9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O35" s="10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125</v>
      </c>
      <c r="C36" s="25"/>
      <c r="D36" s="33">
        <f>+D32-D34</f>
        <v>0</v>
      </c>
      <c r="E36" s="13"/>
      <c r="F36" s="36">
        <f>IF(D$12=0,0,D36/D$12)</f>
        <v>0</v>
      </c>
      <c r="G36" s="13"/>
      <c r="H36" s="33">
        <f>+H32-H34</f>
        <v>-234.14999999999998</v>
      </c>
      <c r="I36" s="13"/>
      <c r="J36" s="36">
        <f>IF(H$12=0,0,H36/H$12)</f>
        <v>0</v>
      </c>
      <c r="K36" s="15"/>
      <c r="L36" s="33">
        <f>D36-H36</f>
        <v>234.14999999999998</v>
      </c>
      <c r="M36" s="15"/>
      <c r="N36" s="36">
        <f>IF(H36=0,0,L36/H36)</f>
        <v>-1</v>
      </c>
      <c r="O36" s="26"/>
      <c r="P36" s="33">
        <f>+P32-P34</f>
        <v>0</v>
      </c>
      <c r="Q36" s="13"/>
      <c r="R36" s="36">
        <f>IF(P$12=0,0,P36/P$12)</f>
        <v>0</v>
      </c>
      <c r="S36" s="13"/>
      <c r="T36" s="33">
        <f>+T32-T34</f>
        <v>-1114.52</v>
      </c>
      <c r="U36" s="13"/>
      <c r="V36" s="36">
        <f>IF(T$12=0,0,T36/T$12)</f>
        <v>0</v>
      </c>
      <c r="W36" s="15"/>
      <c r="X36" s="33">
        <f>P36-T36</f>
        <v>1114.52</v>
      </c>
      <c r="Y36" s="15"/>
      <c r="Z36" s="36">
        <f>IF(T36=0,0,X36/T36)</f>
        <v>-1</v>
      </c>
    </row>
    <row r="37" spans="1:26" ht="15" thickTop="1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x14ac:dyDescent="0.3">
      <c r="A38" s="9"/>
      <c r="B38" s="9"/>
      <c r="C38" s="9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ht="15" thickBot="1" x14ac:dyDescent="0.35">
      <c r="A39" s="10"/>
      <c r="B39" s="25" t="s">
        <v>293</v>
      </c>
      <c r="C39" s="25"/>
      <c r="D39" s="30">
        <f>SUM(D36:D38)</f>
        <v>0</v>
      </c>
      <c r="E39" s="13"/>
      <c r="F39" s="31">
        <f>IF(D$12=0,0,D39/D$12)</f>
        <v>0</v>
      </c>
      <c r="G39" s="13"/>
      <c r="H39" s="30">
        <f>SUM(H36:H38)</f>
        <v>-234.14999999999998</v>
      </c>
      <c r="I39" s="13"/>
      <c r="J39" s="31">
        <f>IF(H$12=0,0,H39/H$12)</f>
        <v>0</v>
      </c>
      <c r="K39" s="15"/>
      <c r="L39" s="30">
        <f>+D39-H39</f>
        <v>234.14999999999998</v>
      </c>
      <c r="M39" s="15"/>
      <c r="N39" s="31">
        <f>IF(H39=0,0,L39/H39)</f>
        <v>-1</v>
      </c>
      <c r="O39" s="26"/>
      <c r="P39" s="30">
        <f>SUM(P36:P38)</f>
        <v>0</v>
      </c>
      <c r="Q39" s="13"/>
      <c r="R39" s="31">
        <f>IF(P$12=0,0,P39/P$12)</f>
        <v>0</v>
      </c>
      <c r="S39" s="13"/>
      <c r="T39" s="30">
        <f>SUM(T36:T38)</f>
        <v>-1114.52</v>
      </c>
      <c r="U39" s="13"/>
      <c r="V39" s="31">
        <f>IF(T$12=0,0,T39/T$12)</f>
        <v>0</v>
      </c>
      <c r="W39" s="15"/>
      <c r="X39" s="30">
        <f>+P39-T39</f>
        <v>1114.52</v>
      </c>
      <c r="Y39" s="15"/>
      <c r="Z39" s="31">
        <f>IF(T39=0,0,X39/T39)</f>
        <v>-1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>
        <v>44470.840542939812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8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2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","411", " - ", "University Dining")</f>
        <v>Department 411 - University Dining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57506.31</v>
      </c>
      <c r="E18" s="21"/>
      <c r="F18" s="32">
        <f t="shared" ref="F18:F27" si="0">IF(D$12=0,0,D18/D$12)</f>
        <v>0</v>
      </c>
      <c r="G18" s="21"/>
      <c r="H18" s="21">
        <f>SUM(OSRRefH22x_0)</f>
        <v>-330.0000000000029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57836.31</v>
      </c>
      <c r="M18" s="4"/>
      <c r="N18" s="32">
        <f t="shared" ref="N18:N27" si="3">IF(H18=0,0,L18/H18)</f>
        <v>-175.26154545454392</v>
      </c>
      <c r="O18" s="10"/>
      <c r="P18" s="21">
        <f>SUM(OSRRefP22x_0)</f>
        <v>106058.25</v>
      </c>
      <c r="Q18" s="21"/>
      <c r="R18" s="32">
        <f t="shared" ref="R18:R27" si="4">IF(P$12=0,0,P18/P$12)</f>
        <v>0</v>
      </c>
      <c r="S18" s="21"/>
      <c r="T18" s="21">
        <f>SUM(OSRRefT22x_0)</f>
        <v>30322.210000000003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75736.039999999994</v>
      </c>
      <c r="Y18" s="4"/>
      <c r="Z18" s="32">
        <f t="shared" ref="Z18:Z27" si="7">IF(T18=0,0,X18/T18)</f>
        <v>2.4977084453936564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9143.380000000001</v>
      </c>
      <c r="E19" s="1"/>
      <c r="F19" s="5">
        <f t="shared" si="0"/>
        <v>0</v>
      </c>
      <c r="G19" s="1"/>
      <c r="H19" s="1">
        <f>SUM(OSRRefH22_0x_0)</f>
        <v>5680.1500000000005</v>
      </c>
      <c r="I19" s="1"/>
      <c r="J19" s="5">
        <f t="shared" si="1"/>
        <v>0</v>
      </c>
      <c r="K19" s="1"/>
      <c r="L19" s="1">
        <f t="shared" si="2"/>
        <v>3463.2300000000005</v>
      </c>
      <c r="M19" s="1"/>
      <c r="N19" s="5">
        <f t="shared" si="3"/>
        <v>0.60970749011909897</v>
      </c>
      <c r="O19" s="14"/>
      <c r="P19" s="1">
        <f>SUM(OSRRefP22_0x_0)</f>
        <v>18128.690000000002</v>
      </c>
      <c r="Q19" s="1"/>
      <c r="R19" s="5">
        <f t="shared" si="4"/>
        <v>0</v>
      </c>
      <c r="S19" s="1"/>
      <c r="T19" s="1">
        <f>SUM(OSRRefT22_0x_0)</f>
        <v>11058.539999999999</v>
      </c>
      <c r="U19" s="1"/>
      <c r="V19" s="5">
        <f t="shared" si="5"/>
        <v>0</v>
      </c>
      <c r="W19" s="1"/>
      <c r="X19" s="1">
        <f t="shared" si="6"/>
        <v>7070.1500000000033</v>
      </c>
      <c r="Y19" s="1"/>
      <c r="Z19" s="5">
        <f t="shared" si="7"/>
        <v>0.6393384660181185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1346.24</v>
      </c>
      <c r="E20" s="2"/>
      <c r="F20" s="8">
        <f t="shared" si="0"/>
        <v>0</v>
      </c>
      <c r="G20" s="2"/>
      <c r="H20" s="7">
        <v>846.8</v>
      </c>
      <c r="I20" s="2"/>
      <c r="J20" s="8">
        <f t="shared" si="1"/>
        <v>0</v>
      </c>
      <c r="K20" s="2"/>
      <c r="L20" s="7">
        <f t="shared" si="2"/>
        <v>499.44000000000005</v>
      </c>
      <c r="M20" s="2"/>
      <c r="N20" s="8">
        <f t="shared" si="3"/>
        <v>0.58979688238072758</v>
      </c>
      <c r="O20" s="11"/>
      <c r="P20" s="7">
        <v>2663.34</v>
      </c>
      <c r="Q20" s="2"/>
      <c r="R20" s="8">
        <f t="shared" si="4"/>
        <v>0</v>
      </c>
      <c r="S20" s="2"/>
      <c r="T20" s="7">
        <v>1852.72</v>
      </c>
      <c r="U20" s="2"/>
      <c r="V20" s="8">
        <f t="shared" si="5"/>
        <v>0</v>
      </c>
      <c r="W20" s="2"/>
      <c r="X20" s="7">
        <f t="shared" si="6"/>
        <v>810.62000000000012</v>
      </c>
      <c r="Y20" s="2"/>
      <c r="Z20" s="8">
        <f t="shared" si="7"/>
        <v>0.43752968608316428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224.03</v>
      </c>
      <c r="E21" s="2"/>
      <c r="F21" s="8">
        <f t="shared" si="0"/>
        <v>0</v>
      </c>
      <c r="G21" s="2"/>
      <c r="H21" s="7">
        <v>36.53</v>
      </c>
      <c r="I21" s="2"/>
      <c r="J21" s="8">
        <f t="shared" si="1"/>
        <v>0</v>
      </c>
      <c r="K21" s="2"/>
      <c r="L21" s="7">
        <f t="shared" si="2"/>
        <v>187.5</v>
      </c>
      <c r="M21" s="2"/>
      <c r="N21" s="8">
        <f t="shared" si="3"/>
        <v>5.1327675882836026</v>
      </c>
      <c r="O21" s="11"/>
      <c r="P21" s="7">
        <v>446.13</v>
      </c>
      <c r="Q21" s="2"/>
      <c r="R21" s="8">
        <f t="shared" si="4"/>
        <v>0</v>
      </c>
      <c r="S21" s="2"/>
      <c r="T21" s="7">
        <v>162.29</v>
      </c>
      <c r="U21" s="2"/>
      <c r="V21" s="8">
        <f t="shared" si="5"/>
        <v>0</v>
      </c>
      <c r="W21" s="2"/>
      <c r="X21" s="7">
        <f t="shared" si="6"/>
        <v>283.84000000000003</v>
      </c>
      <c r="Y21" s="2"/>
      <c r="Z21" s="8">
        <f t="shared" si="7"/>
        <v>1.7489678969745519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3318.36</v>
      </c>
      <c r="E22" s="2"/>
      <c r="F22" s="8">
        <f t="shared" si="0"/>
        <v>0</v>
      </c>
      <c r="G22" s="2"/>
      <c r="H22" s="7">
        <v>1950.75</v>
      </c>
      <c r="I22" s="2"/>
      <c r="J22" s="8">
        <f t="shared" si="1"/>
        <v>0</v>
      </c>
      <c r="K22" s="2"/>
      <c r="L22" s="7">
        <f t="shared" si="2"/>
        <v>1367.6100000000001</v>
      </c>
      <c r="M22" s="2"/>
      <c r="N22" s="8">
        <f t="shared" si="3"/>
        <v>0.70106881968473667</v>
      </c>
      <c r="O22" s="11"/>
      <c r="P22" s="7">
        <v>6636.72</v>
      </c>
      <c r="Q22" s="2"/>
      <c r="R22" s="8">
        <f t="shared" si="4"/>
        <v>0</v>
      </c>
      <c r="S22" s="2"/>
      <c r="T22" s="7">
        <v>2767.47</v>
      </c>
      <c r="U22" s="2"/>
      <c r="V22" s="8">
        <f t="shared" si="5"/>
        <v>0</v>
      </c>
      <c r="W22" s="2"/>
      <c r="X22" s="7">
        <f t="shared" si="6"/>
        <v>3869.2500000000005</v>
      </c>
      <c r="Y22" s="2"/>
      <c r="Z22" s="8">
        <f t="shared" si="7"/>
        <v>1.3981181367819708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45.15</v>
      </c>
      <c r="E23" s="2"/>
      <c r="F23" s="8">
        <f t="shared" si="0"/>
        <v>0</v>
      </c>
      <c r="G23" s="2"/>
      <c r="H23" s="7">
        <v>28.78</v>
      </c>
      <c r="I23" s="2"/>
      <c r="J23" s="8">
        <f t="shared" si="1"/>
        <v>0</v>
      </c>
      <c r="K23" s="2"/>
      <c r="L23" s="7">
        <f t="shared" si="2"/>
        <v>16.369999999999997</v>
      </c>
      <c r="M23" s="2"/>
      <c r="N23" s="8">
        <f t="shared" si="3"/>
        <v>0.56879777623349537</v>
      </c>
      <c r="O23" s="11"/>
      <c r="P23" s="7">
        <v>89.91</v>
      </c>
      <c r="Q23" s="2"/>
      <c r="R23" s="8">
        <f t="shared" si="4"/>
        <v>0</v>
      </c>
      <c r="S23" s="2"/>
      <c r="T23" s="7">
        <v>62.97</v>
      </c>
      <c r="U23" s="2"/>
      <c r="V23" s="8">
        <f t="shared" si="5"/>
        <v>0</v>
      </c>
      <c r="W23" s="2"/>
      <c r="X23" s="7">
        <f t="shared" si="6"/>
        <v>26.939999999999998</v>
      </c>
      <c r="Y23" s="2"/>
      <c r="Z23" s="8">
        <f t="shared" si="7"/>
        <v>0.42782277274892805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1873.21</v>
      </c>
      <c r="E24" s="2"/>
      <c r="F24" s="8">
        <f t="shared" si="0"/>
        <v>0</v>
      </c>
      <c r="G24" s="2"/>
      <c r="H24" s="7">
        <v>1221.05</v>
      </c>
      <c r="I24" s="2"/>
      <c r="J24" s="8">
        <f t="shared" si="1"/>
        <v>0</v>
      </c>
      <c r="K24" s="2"/>
      <c r="L24" s="7">
        <f t="shared" si="2"/>
        <v>652.16000000000008</v>
      </c>
      <c r="M24" s="2"/>
      <c r="N24" s="8">
        <f t="shared" si="3"/>
        <v>0.53409770279677338</v>
      </c>
      <c r="O24" s="11"/>
      <c r="P24" s="7">
        <v>3746.42</v>
      </c>
      <c r="Q24" s="2"/>
      <c r="R24" s="8">
        <f t="shared" si="4"/>
        <v>0</v>
      </c>
      <c r="S24" s="2"/>
      <c r="T24" s="7">
        <v>2763.67</v>
      </c>
      <c r="U24" s="2"/>
      <c r="V24" s="8">
        <f t="shared" si="5"/>
        <v>0</v>
      </c>
      <c r="W24" s="2"/>
      <c r="X24" s="7">
        <f t="shared" si="6"/>
        <v>982.75</v>
      </c>
      <c r="Y24" s="2"/>
      <c r="Z24" s="8">
        <f t="shared" si="7"/>
        <v>0.35559600096972505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1518.94</v>
      </c>
      <c r="E25" s="2"/>
      <c r="F25" s="8">
        <f t="shared" si="0"/>
        <v>0</v>
      </c>
      <c r="G25" s="2"/>
      <c r="H25" s="7">
        <v>1022.52</v>
      </c>
      <c r="I25" s="2"/>
      <c r="J25" s="8">
        <f t="shared" si="1"/>
        <v>0</v>
      </c>
      <c r="K25" s="2"/>
      <c r="L25" s="7">
        <f t="shared" si="2"/>
        <v>496.42000000000007</v>
      </c>
      <c r="M25" s="2"/>
      <c r="N25" s="8">
        <f t="shared" si="3"/>
        <v>0.48548683644329704</v>
      </c>
      <c r="O25" s="11"/>
      <c r="P25" s="7">
        <v>3037.88</v>
      </c>
      <c r="Q25" s="2"/>
      <c r="R25" s="8">
        <f t="shared" si="4"/>
        <v>0</v>
      </c>
      <c r="S25" s="2"/>
      <c r="T25" s="7">
        <v>2237.1799999999998</v>
      </c>
      <c r="U25" s="2"/>
      <c r="V25" s="8">
        <f t="shared" si="5"/>
        <v>0</v>
      </c>
      <c r="W25" s="2"/>
      <c r="X25" s="7">
        <f t="shared" si="6"/>
        <v>800.70000000000027</v>
      </c>
      <c r="Y25" s="2"/>
      <c r="Z25" s="8">
        <f t="shared" si="7"/>
        <v>0.35790593515050212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510.58</v>
      </c>
      <c r="E26" s="2"/>
      <c r="F26" s="8">
        <f t="shared" si="0"/>
        <v>0</v>
      </c>
      <c r="G26" s="2"/>
      <c r="H26" s="7">
        <v>510.58</v>
      </c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>
        <v>1021.16</v>
      </c>
      <c r="Q26" s="2"/>
      <c r="R26" s="8">
        <f t="shared" si="4"/>
        <v>0</v>
      </c>
      <c r="S26" s="2"/>
      <c r="T26" s="7">
        <v>1117.0999999999999</v>
      </c>
      <c r="U26" s="2"/>
      <c r="V26" s="8">
        <f t="shared" si="5"/>
        <v>0</v>
      </c>
      <c r="W26" s="2"/>
      <c r="X26" s="7">
        <f t="shared" si="6"/>
        <v>-95.939999999999941</v>
      </c>
      <c r="Y26" s="2"/>
      <c r="Z26" s="8">
        <f t="shared" si="7"/>
        <v>-8.5883090144123125E-2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306.87</v>
      </c>
      <c r="E27" s="2"/>
      <c r="F27" s="8">
        <f t="shared" si="0"/>
        <v>0</v>
      </c>
      <c r="G27" s="2"/>
      <c r="H27" s="7">
        <v>63.14</v>
      </c>
      <c r="I27" s="2"/>
      <c r="J27" s="8">
        <f t="shared" si="1"/>
        <v>0</v>
      </c>
      <c r="K27" s="2"/>
      <c r="L27" s="7">
        <f t="shared" si="2"/>
        <v>243.73000000000002</v>
      </c>
      <c r="M27" s="2"/>
      <c r="N27" s="8">
        <f t="shared" si="3"/>
        <v>3.8601520430788727</v>
      </c>
      <c r="O27" s="11"/>
      <c r="P27" s="7">
        <v>487.13</v>
      </c>
      <c r="Q27" s="2"/>
      <c r="R27" s="8">
        <f t="shared" si="4"/>
        <v>0</v>
      </c>
      <c r="S27" s="2"/>
      <c r="T27" s="7">
        <v>95.14</v>
      </c>
      <c r="U27" s="2"/>
      <c r="V27" s="8">
        <f t="shared" si="5"/>
        <v>0</v>
      </c>
      <c r="W27" s="2"/>
      <c r="X27" s="7">
        <f t="shared" si="6"/>
        <v>391.99</v>
      </c>
      <c r="Y27" s="2"/>
      <c r="Z27" s="8">
        <f t="shared" si="7"/>
        <v>4.1201387429051923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15601.960000000001</v>
      </c>
      <c r="E28" s="1"/>
      <c r="F28" s="5">
        <f t="shared" ref="F28:F32" si="8">IF(D$12=0,0,D28/D$12)</f>
        <v>0</v>
      </c>
      <c r="G28" s="1"/>
      <c r="H28" s="1">
        <f>SUM(OSRRefH22_1x_0)</f>
        <v>11069.28</v>
      </c>
      <c r="I28" s="1"/>
      <c r="J28" s="5">
        <f t="shared" ref="J28:J32" si="9">IF(H$12=0,0,H28/H$12)</f>
        <v>0</v>
      </c>
      <c r="K28" s="1"/>
      <c r="L28" s="1">
        <f t="shared" ref="L28:L32" si="10">+D28-H28</f>
        <v>4532.68</v>
      </c>
      <c r="M28" s="1"/>
      <c r="N28" s="5">
        <f t="shared" ref="N28:N32" si="11">IF(H28=0,0,L28/H28)</f>
        <v>0.40948282092421551</v>
      </c>
      <c r="O28" s="14"/>
      <c r="P28" s="1">
        <f>SUM(OSRRefP22_1x_0)</f>
        <v>37122.92</v>
      </c>
      <c r="Q28" s="1"/>
      <c r="R28" s="5">
        <f t="shared" ref="R28:R32" si="12">IF(P$12=0,0,P28/P$12)</f>
        <v>0</v>
      </c>
      <c r="S28" s="1"/>
      <c r="T28" s="1">
        <f>SUM(OSRRefT22_1x_0)</f>
        <v>24356.61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12766.309999999998</v>
      </c>
      <c r="Y28" s="1"/>
      <c r="Z28" s="5">
        <f t="shared" ref="Z28:Z32" si="15">IF(T28=0,0,X28/T28)</f>
        <v>0.52414149588140535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8855.42</v>
      </c>
      <c r="E29" s="2"/>
      <c r="F29" s="8">
        <f t="shared" si="8"/>
        <v>0</v>
      </c>
      <c r="G29" s="2"/>
      <c r="H29" s="7">
        <v>11069.28</v>
      </c>
      <c r="I29" s="2"/>
      <c r="J29" s="8">
        <f t="shared" si="9"/>
        <v>0</v>
      </c>
      <c r="K29" s="2"/>
      <c r="L29" s="7">
        <f t="shared" si="10"/>
        <v>-2213.8600000000006</v>
      </c>
      <c r="M29" s="2"/>
      <c r="N29" s="8">
        <f t="shared" si="11"/>
        <v>-0.20000036136044985</v>
      </c>
      <c r="O29" s="11"/>
      <c r="P29" s="7">
        <v>22691.7</v>
      </c>
      <c r="Q29" s="2"/>
      <c r="R29" s="8">
        <f t="shared" si="12"/>
        <v>0</v>
      </c>
      <c r="S29" s="2"/>
      <c r="T29" s="7">
        <v>22276.61</v>
      </c>
      <c r="U29" s="2"/>
      <c r="V29" s="8">
        <f t="shared" si="13"/>
        <v>0</v>
      </c>
      <c r="W29" s="2"/>
      <c r="X29" s="7">
        <f t="shared" si="14"/>
        <v>415.09000000000015</v>
      </c>
      <c r="Y29" s="2"/>
      <c r="Z29" s="8">
        <f t="shared" si="15"/>
        <v>1.8633445573630822E-2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>
        <v>6147.68</v>
      </c>
      <c r="E30" s="2"/>
      <c r="F30" s="8">
        <f t="shared" si="8"/>
        <v>0</v>
      </c>
      <c r="G30" s="2"/>
      <c r="H30" s="7"/>
      <c r="I30" s="2"/>
      <c r="J30" s="8">
        <f t="shared" si="9"/>
        <v>0</v>
      </c>
      <c r="K30" s="2"/>
      <c r="L30" s="7">
        <f t="shared" si="10"/>
        <v>6147.68</v>
      </c>
      <c r="M30" s="2"/>
      <c r="N30" s="8">
        <f t="shared" si="11"/>
        <v>0</v>
      </c>
      <c r="O30" s="11"/>
      <c r="P30" s="7">
        <v>13832.36</v>
      </c>
      <c r="Q30" s="2"/>
      <c r="R30" s="8">
        <f t="shared" si="12"/>
        <v>0</v>
      </c>
      <c r="S30" s="2"/>
      <c r="T30" s="7">
        <v>2080</v>
      </c>
      <c r="U30" s="2"/>
      <c r="V30" s="8">
        <f t="shared" si="13"/>
        <v>0</v>
      </c>
      <c r="W30" s="2"/>
      <c r="X30" s="7">
        <f t="shared" si="14"/>
        <v>11752.36</v>
      </c>
      <c r="Y30" s="2"/>
      <c r="Z30" s="8">
        <f t="shared" si="15"/>
        <v>5.6501730769230774</v>
      </c>
    </row>
    <row r="31" spans="1:26" s="24" customFormat="1" hidden="1" outlineLevel="2" x14ac:dyDescent="0.3">
      <c r="A31" s="27"/>
      <c r="B31" s="11" t="str">
        <f>CONCATENATE("          ", "6005", " - ", "TEMPORARY WAGES-HOURLY")</f>
        <v xml:space="preserve">          6005 - TEMPORARY WAGES-HOURLY</v>
      </c>
      <c r="C31" s="11"/>
      <c r="D31" s="7">
        <v>230.86</v>
      </c>
      <c r="E31" s="2"/>
      <c r="F31" s="8">
        <f t="shared" si="8"/>
        <v>0</v>
      </c>
      <c r="G31" s="2"/>
      <c r="H31" s="7"/>
      <c r="I31" s="2"/>
      <c r="J31" s="8">
        <f t="shared" si="9"/>
        <v>0</v>
      </c>
      <c r="K31" s="2"/>
      <c r="L31" s="7">
        <f t="shared" si="10"/>
        <v>230.86</v>
      </c>
      <c r="M31" s="2"/>
      <c r="N31" s="8">
        <f t="shared" si="11"/>
        <v>0</v>
      </c>
      <c r="O31" s="11"/>
      <c r="P31" s="7">
        <v>230.86</v>
      </c>
      <c r="Q31" s="2"/>
      <c r="R31" s="8">
        <f t="shared" si="12"/>
        <v>0</v>
      </c>
      <c r="S31" s="2"/>
      <c r="T31" s="7"/>
      <c r="U31" s="2"/>
      <c r="V31" s="8">
        <f t="shared" si="13"/>
        <v>0</v>
      </c>
      <c r="W31" s="2"/>
      <c r="X31" s="7">
        <f t="shared" si="14"/>
        <v>230.86</v>
      </c>
      <c r="Y31" s="2"/>
      <c r="Z31" s="8">
        <f t="shared" si="15"/>
        <v>0</v>
      </c>
    </row>
    <row r="32" spans="1:26" s="24" customFormat="1" hidden="1" outlineLevel="2" x14ac:dyDescent="0.3">
      <c r="A32" s="27"/>
      <c r="B32" s="11" t="str">
        <f>CONCATENATE("          ", "6007", " - ", "STUDENT HOURLY")</f>
        <v xml:space="preserve">          6007 - STUDENT HOURLY</v>
      </c>
      <c r="C32" s="11"/>
      <c r="D32" s="7">
        <v>368</v>
      </c>
      <c r="E32" s="2"/>
      <c r="F32" s="8">
        <f t="shared" si="8"/>
        <v>0</v>
      </c>
      <c r="G32" s="2"/>
      <c r="H32" s="7"/>
      <c r="I32" s="2"/>
      <c r="J32" s="8">
        <f t="shared" si="9"/>
        <v>0</v>
      </c>
      <c r="K32" s="2"/>
      <c r="L32" s="7">
        <f t="shared" si="10"/>
        <v>368</v>
      </c>
      <c r="M32" s="2"/>
      <c r="N32" s="8">
        <f t="shared" si="11"/>
        <v>0</v>
      </c>
      <c r="O32" s="11"/>
      <c r="P32" s="7">
        <v>368</v>
      </c>
      <c r="Q32" s="2"/>
      <c r="R32" s="8">
        <f t="shared" si="12"/>
        <v>0</v>
      </c>
      <c r="S32" s="2"/>
      <c r="T32" s="7"/>
      <c r="U32" s="2"/>
      <c r="V32" s="8">
        <f t="shared" si="13"/>
        <v>0</v>
      </c>
      <c r="W32" s="2"/>
      <c r="X32" s="7">
        <f t="shared" si="14"/>
        <v>368</v>
      </c>
      <c r="Y32" s="2"/>
      <c r="Z32" s="8">
        <f t="shared" si="15"/>
        <v>0</v>
      </c>
    </row>
    <row r="33" spans="1:26" s="28" customFormat="1" outlineLevel="1" collapsed="1" x14ac:dyDescent="0.3">
      <c r="A33" s="29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SUM(OSRRefD22_2x_0)</f>
        <v>242.91</v>
      </c>
      <c r="E33" s="1"/>
      <c r="F33" s="5">
        <f t="shared" ref="F33:F37" si="16">IF(D$12=0,0,D33/D$12)</f>
        <v>0</v>
      </c>
      <c r="G33" s="1"/>
      <c r="H33" s="1">
        <f>SUM(OSRRefH22_2x_0)</f>
        <v>331.81</v>
      </c>
      <c r="I33" s="1"/>
      <c r="J33" s="5">
        <f t="shared" ref="J33:J37" si="17">IF(H$12=0,0,H33/H$12)</f>
        <v>0</v>
      </c>
      <c r="K33" s="1"/>
      <c r="L33" s="1">
        <f t="shared" ref="L33:L37" si="18">+D33-H33</f>
        <v>-88.9</v>
      </c>
      <c r="M33" s="1"/>
      <c r="N33" s="5">
        <f t="shared" ref="N33:N37" si="19">IF(H33=0,0,L33/H33)</f>
        <v>-0.26792441457460597</v>
      </c>
      <c r="O33" s="14"/>
      <c r="P33" s="1">
        <f>SUM(OSRRefP22_2x_0)</f>
        <v>485.82</v>
      </c>
      <c r="Q33" s="1"/>
      <c r="R33" s="5">
        <f t="shared" ref="R33:R37" si="20">IF(P$12=0,0,P33/P$12)</f>
        <v>0</v>
      </c>
      <c r="S33" s="1"/>
      <c r="T33" s="1">
        <f>SUM(OSRRefT22_2x_0)</f>
        <v>614.63</v>
      </c>
      <c r="U33" s="1"/>
      <c r="V33" s="5">
        <f t="shared" ref="V33:V37" si="21">IF(T$12=0,0,T33/T$12)</f>
        <v>0</v>
      </c>
      <c r="W33" s="1"/>
      <c r="X33" s="1">
        <f t="shared" ref="X33:X37" si="22">+P33-T33</f>
        <v>-128.81</v>
      </c>
      <c r="Y33" s="1"/>
      <c r="Z33" s="5">
        <f t="shared" ref="Z33:Z37" si="23">IF(T33=0,0,X33/T33)</f>
        <v>-0.20957323918455006</v>
      </c>
    </row>
    <row r="34" spans="1:26" s="24" customFormat="1" hidden="1" outlineLevel="2" x14ac:dyDescent="0.3">
      <c r="A34" s="27"/>
      <c r="B34" s="11" t="str">
        <f>CONCATENATE("          ", "6381", " - ", "BANK/CREDIT CARD FEES")</f>
        <v xml:space="preserve">          6381 - BANK/CREDIT CARD FEES</v>
      </c>
      <c r="C34" s="11"/>
      <c r="D34" s="7">
        <v>242.91</v>
      </c>
      <c r="E34" s="2"/>
      <c r="F34" s="8">
        <f t="shared" si="16"/>
        <v>0</v>
      </c>
      <c r="G34" s="2"/>
      <c r="H34" s="7">
        <v>331.81</v>
      </c>
      <c r="I34" s="2"/>
      <c r="J34" s="8">
        <f t="shared" si="17"/>
        <v>0</v>
      </c>
      <c r="K34" s="2"/>
      <c r="L34" s="7">
        <f t="shared" si="18"/>
        <v>-88.9</v>
      </c>
      <c r="M34" s="2"/>
      <c r="N34" s="8">
        <f t="shared" si="19"/>
        <v>-0.26792441457460597</v>
      </c>
      <c r="O34" s="11"/>
      <c r="P34" s="7">
        <v>485.82</v>
      </c>
      <c r="Q34" s="2"/>
      <c r="R34" s="8">
        <f t="shared" si="20"/>
        <v>0</v>
      </c>
      <c r="S34" s="2"/>
      <c r="T34" s="7">
        <v>614.63</v>
      </c>
      <c r="U34" s="2"/>
      <c r="V34" s="8">
        <f t="shared" si="21"/>
        <v>0</v>
      </c>
      <c r="W34" s="2"/>
      <c r="X34" s="7">
        <f t="shared" si="22"/>
        <v>-128.81</v>
      </c>
      <c r="Y34" s="2"/>
      <c r="Z34" s="8">
        <f t="shared" si="23"/>
        <v>-0.20957323918455006</v>
      </c>
    </row>
    <row r="35" spans="1:26" s="28" customFormat="1" outlineLevel="1" collapsed="1" x14ac:dyDescent="0.3">
      <c r="A35" s="29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SUM(OSRRefD22_3x_0)</f>
        <v>5331.53</v>
      </c>
      <c r="E35" s="1"/>
      <c r="F35" s="5">
        <f t="shared" si="16"/>
        <v>0</v>
      </c>
      <c r="G35" s="1"/>
      <c r="H35" s="1">
        <f>SUM(OSRRefH22_3x_0)</f>
        <v>7041.26</v>
      </c>
      <c r="I35" s="1"/>
      <c r="J35" s="5">
        <f t="shared" si="17"/>
        <v>0</v>
      </c>
      <c r="K35" s="1"/>
      <c r="L35" s="1">
        <f t="shared" si="18"/>
        <v>-1709.7300000000005</v>
      </c>
      <c r="M35" s="1"/>
      <c r="N35" s="5">
        <f t="shared" si="19"/>
        <v>-0.24281591646949557</v>
      </c>
      <c r="O35" s="14"/>
      <c r="P35" s="1">
        <f>SUM(OSRRefP22_3x_0)</f>
        <v>10663.06</v>
      </c>
      <c r="Q35" s="1"/>
      <c r="R35" s="5">
        <f t="shared" si="20"/>
        <v>0</v>
      </c>
      <c r="S35" s="1"/>
      <c r="T35" s="1">
        <f>SUM(OSRRefT22_3x_0)</f>
        <v>14082.52</v>
      </c>
      <c r="U35" s="1"/>
      <c r="V35" s="5">
        <f t="shared" si="21"/>
        <v>0</v>
      </c>
      <c r="W35" s="1"/>
      <c r="X35" s="1">
        <f t="shared" si="22"/>
        <v>-3419.4600000000009</v>
      </c>
      <c r="Y35" s="1"/>
      <c r="Z35" s="5">
        <f t="shared" si="23"/>
        <v>-0.24281591646949557</v>
      </c>
    </row>
    <row r="36" spans="1:26" s="24" customFormat="1" hidden="1" outlineLevel="2" x14ac:dyDescent="0.3">
      <c r="A36" s="27"/>
      <c r="B36" s="11" t="str">
        <f>CONCATENATE("          ", "6321", " - ", "BUILDING DEPRECIATION")</f>
        <v xml:space="preserve">          6321 - BUILDING DEPRECIATION</v>
      </c>
      <c r="C36" s="11"/>
      <c r="D36" s="7">
        <v>1822.68</v>
      </c>
      <c r="E36" s="2"/>
      <c r="F36" s="8">
        <f t="shared" si="16"/>
        <v>0</v>
      </c>
      <c r="G36" s="2"/>
      <c r="H36" s="7">
        <v>2084.08</v>
      </c>
      <c r="I36" s="2"/>
      <c r="J36" s="8">
        <f t="shared" si="17"/>
        <v>0</v>
      </c>
      <c r="K36" s="2"/>
      <c r="L36" s="7">
        <f t="shared" si="18"/>
        <v>-261.39999999999986</v>
      </c>
      <c r="M36" s="2"/>
      <c r="N36" s="8">
        <f t="shared" si="19"/>
        <v>-0.12542704694637435</v>
      </c>
      <c r="O36" s="11"/>
      <c r="P36" s="7">
        <v>3645.36</v>
      </c>
      <c r="Q36" s="2"/>
      <c r="R36" s="8">
        <f t="shared" si="20"/>
        <v>0</v>
      </c>
      <c r="S36" s="2"/>
      <c r="T36" s="7">
        <v>4168.16</v>
      </c>
      <c r="U36" s="2"/>
      <c r="V36" s="8">
        <f t="shared" si="21"/>
        <v>0</v>
      </c>
      <c r="W36" s="2"/>
      <c r="X36" s="7">
        <f t="shared" si="22"/>
        <v>-522.79999999999973</v>
      </c>
      <c r="Y36" s="2"/>
      <c r="Z36" s="8">
        <f t="shared" si="23"/>
        <v>-0.12542704694637435</v>
      </c>
    </row>
    <row r="37" spans="1:26" s="24" customFormat="1" hidden="1" outlineLevel="2" x14ac:dyDescent="0.3">
      <c r="A37" s="27"/>
      <c r="B37" s="11" t="str">
        <f>CONCATENATE("          ", "6322", " - ", "EQUIPMENT DEPRECIATION EXPENSE")</f>
        <v xml:space="preserve">          6322 - EQUIPMENT DEPRECIATION EXPENSE</v>
      </c>
      <c r="C37" s="11"/>
      <c r="D37" s="7">
        <v>3508.85</v>
      </c>
      <c r="E37" s="2"/>
      <c r="F37" s="8">
        <f t="shared" si="16"/>
        <v>0</v>
      </c>
      <c r="G37" s="2"/>
      <c r="H37" s="7">
        <v>4957.18</v>
      </c>
      <c r="I37" s="2"/>
      <c r="J37" s="8">
        <f t="shared" si="17"/>
        <v>0</v>
      </c>
      <c r="K37" s="2"/>
      <c r="L37" s="7">
        <f t="shared" si="18"/>
        <v>-1448.3300000000004</v>
      </c>
      <c r="M37" s="2"/>
      <c r="N37" s="8">
        <f t="shared" si="19"/>
        <v>-0.29216812784688073</v>
      </c>
      <c r="O37" s="11"/>
      <c r="P37" s="7">
        <v>7017.7</v>
      </c>
      <c r="Q37" s="2"/>
      <c r="R37" s="8">
        <f t="shared" si="20"/>
        <v>0</v>
      </c>
      <c r="S37" s="2"/>
      <c r="T37" s="7">
        <v>9914.36</v>
      </c>
      <c r="U37" s="2"/>
      <c r="V37" s="8">
        <f t="shared" si="21"/>
        <v>0</v>
      </c>
      <c r="W37" s="2"/>
      <c r="X37" s="7">
        <f t="shared" si="22"/>
        <v>-2896.6600000000008</v>
      </c>
      <c r="Y37" s="2"/>
      <c r="Z37" s="8">
        <f t="shared" si="23"/>
        <v>-0.29216812784688073</v>
      </c>
    </row>
    <row r="38" spans="1:26" s="28" customFormat="1" outlineLevel="1" collapsed="1" x14ac:dyDescent="0.3">
      <c r="A38" s="29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SUM(OSRRefD22_4x_0)</f>
        <v>18</v>
      </c>
      <c r="E38" s="1"/>
      <c r="F38" s="5">
        <f t="shared" ref="F38:F49" si="24">IF(D$12=0,0,D38/D$12)</f>
        <v>0</v>
      </c>
      <c r="G38" s="1"/>
      <c r="H38" s="1">
        <f>SUM(OSRRefH22_4x_0)</f>
        <v>0</v>
      </c>
      <c r="I38" s="1"/>
      <c r="J38" s="5">
        <f t="shared" ref="J38:J49" si="25">IF(H$12=0,0,H38/H$12)</f>
        <v>0</v>
      </c>
      <c r="K38" s="1"/>
      <c r="L38" s="1">
        <f t="shared" ref="L38:L49" si="26">+D38-H38</f>
        <v>18</v>
      </c>
      <c r="M38" s="1"/>
      <c r="N38" s="5">
        <f t="shared" ref="N38:N49" si="27">IF(H38=0,0,L38/H38)</f>
        <v>0</v>
      </c>
      <c r="O38" s="14"/>
      <c r="P38" s="1">
        <f>SUM(OSRRefP22_4x_0)</f>
        <v>18</v>
      </c>
      <c r="Q38" s="1"/>
      <c r="R38" s="5">
        <f t="shared" ref="R38:R49" si="28">IF(P$12=0,0,P38/P$12)</f>
        <v>0</v>
      </c>
      <c r="S38" s="1"/>
      <c r="T38" s="1">
        <f>SUM(OSRRefT22_4x_0)</f>
        <v>0</v>
      </c>
      <c r="U38" s="1"/>
      <c r="V38" s="5">
        <f t="shared" ref="V38:V49" si="29">IF(T$12=0,0,T38/T$12)</f>
        <v>0</v>
      </c>
      <c r="W38" s="1"/>
      <c r="X38" s="1">
        <f t="shared" ref="X38:X49" si="30">+P38-T38</f>
        <v>18</v>
      </c>
      <c r="Y38" s="1"/>
      <c r="Z38" s="5">
        <f t="shared" ref="Z38:Z49" si="31">IF(T38=0,0,X38/T38)</f>
        <v>0</v>
      </c>
    </row>
    <row r="39" spans="1:26" s="24" customFormat="1" hidden="1" outlineLevel="2" x14ac:dyDescent="0.3">
      <c r="A39" s="27"/>
      <c r="B39" s="11" t="str">
        <f>CONCATENATE("          ", "6277", " - ", "EMPLOYEE APPRECIATION")</f>
        <v xml:space="preserve">          6277 - EMPLOYEE APPRECIATION</v>
      </c>
      <c r="C39" s="11"/>
      <c r="D39" s="7">
        <v>18</v>
      </c>
      <c r="E39" s="2"/>
      <c r="F39" s="8">
        <f t="shared" si="24"/>
        <v>0</v>
      </c>
      <c r="G39" s="2"/>
      <c r="H39" s="7"/>
      <c r="I39" s="2"/>
      <c r="J39" s="8">
        <f t="shared" si="25"/>
        <v>0</v>
      </c>
      <c r="K39" s="2"/>
      <c r="L39" s="7">
        <f t="shared" si="26"/>
        <v>18</v>
      </c>
      <c r="M39" s="2"/>
      <c r="N39" s="8">
        <f t="shared" si="27"/>
        <v>0</v>
      </c>
      <c r="O39" s="11"/>
      <c r="P39" s="7">
        <v>18</v>
      </c>
      <c r="Q39" s="2"/>
      <c r="R39" s="8">
        <f t="shared" si="28"/>
        <v>0</v>
      </c>
      <c r="S39" s="2"/>
      <c r="T39" s="7"/>
      <c r="U39" s="2"/>
      <c r="V39" s="8">
        <f t="shared" si="29"/>
        <v>0</v>
      </c>
      <c r="W39" s="2"/>
      <c r="X39" s="7">
        <f t="shared" si="30"/>
        <v>18</v>
      </c>
      <c r="Y39" s="2"/>
      <c r="Z39" s="8">
        <f t="shared" si="31"/>
        <v>0</v>
      </c>
    </row>
    <row r="40" spans="1:26" s="28" customFormat="1" outlineLevel="1" collapsed="1" x14ac:dyDescent="0.3">
      <c r="A40" s="29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91.26</v>
      </c>
      <c r="E40" s="1"/>
      <c r="F40" s="5">
        <f t="shared" si="24"/>
        <v>0</v>
      </c>
      <c r="G40" s="1"/>
      <c r="H40" s="1">
        <f>SUM(OSRRefH22_5x_0)</f>
        <v>91.26</v>
      </c>
      <c r="I40" s="1"/>
      <c r="J40" s="5">
        <f t="shared" si="25"/>
        <v>0</v>
      </c>
      <c r="K40" s="1"/>
      <c r="L40" s="1">
        <f t="shared" si="26"/>
        <v>0</v>
      </c>
      <c r="M40" s="1"/>
      <c r="N40" s="5">
        <f t="shared" si="27"/>
        <v>0</v>
      </c>
      <c r="O40" s="14"/>
      <c r="P40" s="1">
        <f>SUM(OSRRefP22_5x_0)</f>
        <v>182.52</v>
      </c>
      <c r="Q40" s="1"/>
      <c r="R40" s="5">
        <f t="shared" si="28"/>
        <v>0</v>
      </c>
      <c r="S40" s="1"/>
      <c r="T40" s="1">
        <f>SUM(OSRRefT22_5x_0)</f>
        <v>510.62</v>
      </c>
      <c r="U40" s="1"/>
      <c r="V40" s="5">
        <f t="shared" si="29"/>
        <v>0</v>
      </c>
      <c r="W40" s="1"/>
      <c r="X40" s="1">
        <f t="shared" si="30"/>
        <v>-328.1</v>
      </c>
      <c r="Y40" s="1"/>
      <c r="Z40" s="5">
        <f t="shared" si="31"/>
        <v>-0.64255219145352716</v>
      </c>
    </row>
    <row r="41" spans="1:26" s="24" customFormat="1" hidden="1" outlineLevel="2" x14ac:dyDescent="0.3">
      <c r="A41" s="27"/>
      <c r="B41" s="11" t="str">
        <f>CONCATENATE("          ", "6351", " - ", "EQUIPMENT RENTAL")</f>
        <v xml:space="preserve">          6351 - EQUIPMENT RENTAL</v>
      </c>
      <c r="C41" s="11"/>
      <c r="D41" s="7">
        <v>91.26</v>
      </c>
      <c r="E41" s="2"/>
      <c r="F41" s="8">
        <f t="shared" si="24"/>
        <v>0</v>
      </c>
      <c r="G41" s="2"/>
      <c r="H41" s="7">
        <v>91.26</v>
      </c>
      <c r="I41" s="2"/>
      <c r="J41" s="8">
        <f t="shared" si="25"/>
        <v>0</v>
      </c>
      <c r="K41" s="2"/>
      <c r="L41" s="7">
        <f t="shared" si="26"/>
        <v>0</v>
      </c>
      <c r="M41" s="2"/>
      <c r="N41" s="8">
        <f t="shared" si="27"/>
        <v>0</v>
      </c>
      <c r="O41" s="11"/>
      <c r="P41" s="7">
        <v>182.52</v>
      </c>
      <c r="Q41" s="2"/>
      <c r="R41" s="8">
        <f t="shared" si="28"/>
        <v>0</v>
      </c>
      <c r="S41" s="2"/>
      <c r="T41" s="7">
        <v>510.62</v>
      </c>
      <c r="U41" s="2"/>
      <c r="V41" s="8">
        <f t="shared" si="29"/>
        <v>0</v>
      </c>
      <c r="W41" s="2"/>
      <c r="X41" s="7">
        <f t="shared" si="30"/>
        <v>-328.1</v>
      </c>
      <c r="Y41" s="2"/>
      <c r="Z41" s="8">
        <f t="shared" si="31"/>
        <v>-0.64255219145352716</v>
      </c>
    </row>
    <row r="42" spans="1:26" s="28" customFormat="1" outlineLevel="1" collapsed="1" x14ac:dyDescent="0.3">
      <c r="A42" s="29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SUM(OSRRefP22_6x_0)</f>
        <v>122.51</v>
      </c>
      <c r="Q42" s="1"/>
      <c r="R42" s="5">
        <f t="shared" si="28"/>
        <v>0</v>
      </c>
      <c r="S42" s="1"/>
      <c r="T42" s="1">
        <f>SUM(OSRRefT22_6x_0)</f>
        <v>0</v>
      </c>
      <c r="U42" s="1"/>
      <c r="V42" s="5">
        <f t="shared" si="29"/>
        <v>0</v>
      </c>
      <c r="W42" s="1"/>
      <c r="X42" s="1">
        <f t="shared" si="30"/>
        <v>122.51</v>
      </c>
      <c r="Y42" s="1"/>
      <c r="Z42" s="5">
        <f t="shared" si="31"/>
        <v>0</v>
      </c>
    </row>
    <row r="43" spans="1:26" s="24" customFormat="1" hidden="1" outlineLevel="2" x14ac:dyDescent="0.3">
      <c r="A43" s="27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8">
        <f t="shared" si="24"/>
        <v>0</v>
      </c>
      <c r="G43" s="2"/>
      <c r="H43" s="7"/>
      <c r="I43" s="2"/>
      <c r="J43" s="8">
        <f t="shared" si="25"/>
        <v>0</v>
      </c>
      <c r="K43" s="2"/>
      <c r="L43" s="7">
        <f t="shared" si="26"/>
        <v>0</v>
      </c>
      <c r="M43" s="2"/>
      <c r="N43" s="8">
        <f t="shared" si="27"/>
        <v>0</v>
      </c>
      <c r="O43" s="11"/>
      <c r="P43" s="7">
        <v>122.51</v>
      </c>
      <c r="Q43" s="2"/>
      <c r="R43" s="8">
        <f t="shared" si="28"/>
        <v>0</v>
      </c>
      <c r="S43" s="2"/>
      <c r="T43" s="7"/>
      <c r="U43" s="2"/>
      <c r="V43" s="8">
        <f t="shared" si="29"/>
        <v>0</v>
      </c>
      <c r="W43" s="2"/>
      <c r="X43" s="7">
        <f t="shared" si="30"/>
        <v>122.51</v>
      </c>
      <c r="Y43" s="2"/>
      <c r="Z43" s="8">
        <f t="shared" si="31"/>
        <v>0</v>
      </c>
    </row>
    <row r="44" spans="1:26" s="28" customFormat="1" outlineLevel="1" collapsed="1" x14ac:dyDescent="0.3">
      <c r="A44" s="29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SUM(OSRRefD22_7x_0)</f>
        <v>4884.6000000000004</v>
      </c>
      <c r="E44" s="1"/>
      <c r="F44" s="5">
        <f t="shared" si="24"/>
        <v>0</v>
      </c>
      <c r="G44" s="1"/>
      <c r="H44" s="1">
        <f>SUM(OSRRefH22_7x_0)</f>
        <v>3598.85</v>
      </c>
      <c r="I44" s="1"/>
      <c r="J44" s="5">
        <f t="shared" si="25"/>
        <v>0</v>
      </c>
      <c r="K44" s="1"/>
      <c r="L44" s="1">
        <f t="shared" si="26"/>
        <v>1285.7500000000005</v>
      </c>
      <c r="M44" s="1"/>
      <c r="N44" s="5">
        <f t="shared" si="27"/>
        <v>0.35726690470567002</v>
      </c>
      <c r="O44" s="14"/>
      <c r="P44" s="1">
        <f>SUM(OSRRefP22_7x_0)</f>
        <v>9769.2000000000007</v>
      </c>
      <c r="Q44" s="1"/>
      <c r="R44" s="5">
        <f t="shared" si="28"/>
        <v>0</v>
      </c>
      <c r="S44" s="1"/>
      <c r="T44" s="1">
        <f>SUM(OSRRefT22_7x_0)</f>
        <v>7197.7</v>
      </c>
      <c r="U44" s="1"/>
      <c r="V44" s="5">
        <f t="shared" si="29"/>
        <v>0</v>
      </c>
      <c r="W44" s="1"/>
      <c r="X44" s="1">
        <f t="shared" si="30"/>
        <v>2571.5000000000009</v>
      </c>
      <c r="Y44" s="1"/>
      <c r="Z44" s="5">
        <f t="shared" si="31"/>
        <v>0.35726690470567002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7">
        <v>4884.6000000000004</v>
      </c>
      <c r="E45" s="2"/>
      <c r="F45" s="8">
        <f t="shared" si="24"/>
        <v>0</v>
      </c>
      <c r="G45" s="2"/>
      <c r="H45" s="7">
        <v>3598.85</v>
      </c>
      <c r="I45" s="2"/>
      <c r="J45" s="8">
        <f t="shared" si="25"/>
        <v>0</v>
      </c>
      <c r="K45" s="2"/>
      <c r="L45" s="7">
        <f t="shared" si="26"/>
        <v>1285.7500000000005</v>
      </c>
      <c r="M45" s="2"/>
      <c r="N45" s="8">
        <f t="shared" si="27"/>
        <v>0.35726690470567002</v>
      </c>
      <c r="O45" s="11"/>
      <c r="P45" s="7">
        <v>9769.2000000000007</v>
      </c>
      <c r="Q45" s="2"/>
      <c r="R45" s="8">
        <f t="shared" si="28"/>
        <v>0</v>
      </c>
      <c r="S45" s="2"/>
      <c r="T45" s="7">
        <v>7197.7</v>
      </c>
      <c r="U45" s="2"/>
      <c r="V45" s="8">
        <f t="shared" si="29"/>
        <v>0</v>
      </c>
      <c r="W45" s="2"/>
      <c r="X45" s="7">
        <f t="shared" si="30"/>
        <v>2571.5000000000009</v>
      </c>
      <c r="Y45" s="2"/>
      <c r="Z45" s="8">
        <f t="shared" si="31"/>
        <v>0.35726690470567002</v>
      </c>
    </row>
    <row r="46" spans="1:26" s="28" customFormat="1" outlineLevel="1" collapsed="1" x14ac:dyDescent="0.3">
      <c r="A46" s="29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SUM(OSRRefD22_8x_0)</f>
        <v>12058.39</v>
      </c>
      <c r="E46" s="1"/>
      <c r="F46" s="5">
        <f t="shared" si="24"/>
        <v>0</v>
      </c>
      <c r="G46" s="1"/>
      <c r="H46" s="1">
        <f>SUM(OSRRefH22_8x_0)</f>
        <v>704.86</v>
      </c>
      <c r="I46" s="1"/>
      <c r="J46" s="5">
        <f t="shared" si="25"/>
        <v>0</v>
      </c>
      <c r="K46" s="1"/>
      <c r="L46" s="1">
        <f t="shared" si="26"/>
        <v>11353.529999999999</v>
      </c>
      <c r="M46" s="1"/>
      <c r="N46" s="5">
        <f t="shared" si="27"/>
        <v>16.107496524132451</v>
      </c>
      <c r="O46" s="14"/>
      <c r="P46" s="1">
        <f>SUM(OSRRefP22_8x_0)</f>
        <v>12935.85</v>
      </c>
      <c r="Q46" s="1"/>
      <c r="R46" s="5">
        <f t="shared" si="28"/>
        <v>0</v>
      </c>
      <c r="S46" s="1"/>
      <c r="T46" s="1">
        <f>SUM(OSRRefT22_8x_0)</f>
        <v>743.37</v>
      </c>
      <c r="U46" s="1"/>
      <c r="V46" s="5">
        <f t="shared" si="29"/>
        <v>0</v>
      </c>
      <c r="W46" s="1"/>
      <c r="X46" s="1">
        <f t="shared" si="30"/>
        <v>12192.48</v>
      </c>
      <c r="Y46" s="1"/>
      <c r="Z46" s="5">
        <f t="shared" si="31"/>
        <v>16.401630412849588</v>
      </c>
    </row>
    <row r="47" spans="1:26" s="24" customFormat="1" hidden="1" outlineLevel="2" x14ac:dyDescent="0.3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7">
        <v>5177.72</v>
      </c>
      <c r="E47" s="2"/>
      <c r="F47" s="8">
        <f t="shared" si="24"/>
        <v>0</v>
      </c>
      <c r="G47" s="2"/>
      <c r="H47" s="7"/>
      <c r="I47" s="2"/>
      <c r="J47" s="8">
        <f t="shared" si="25"/>
        <v>0</v>
      </c>
      <c r="K47" s="2"/>
      <c r="L47" s="7">
        <f t="shared" si="26"/>
        <v>5177.72</v>
      </c>
      <c r="M47" s="2"/>
      <c r="N47" s="8">
        <f t="shared" si="27"/>
        <v>0</v>
      </c>
      <c r="O47" s="11"/>
      <c r="P47" s="7">
        <v>5177.72</v>
      </c>
      <c r="Q47" s="2"/>
      <c r="R47" s="8">
        <f t="shared" si="28"/>
        <v>0</v>
      </c>
      <c r="S47" s="2"/>
      <c r="T47" s="7"/>
      <c r="U47" s="2"/>
      <c r="V47" s="8">
        <f t="shared" si="29"/>
        <v>0</v>
      </c>
      <c r="W47" s="2"/>
      <c r="X47" s="7">
        <f t="shared" si="30"/>
        <v>5177.72</v>
      </c>
      <c r="Y47" s="2"/>
      <c r="Z47" s="8">
        <f t="shared" si="31"/>
        <v>0</v>
      </c>
    </row>
    <row r="48" spans="1:26" s="24" customFormat="1" hidden="1" outlineLevel="2" x14ac:dyDescent="0.3">
      <c r="A48" s="27"/>
      <c r="B48" s="11" t="str">
        <f>CONCATENATE("          ", "6373", " - ", "MAINTENANCE CONTRACTS")</f>
        <v xml:space="preserve">          6373 - MAINTENANCE CONTRACTS</v>
      </c>
      <c r="C48" s="11"/>
      <c r="D48" s="7"/>
      <c r="E48" s="2"/>
      <c r="F48" s="8">
        <f t="shared" si="24"/>
        <v>0</v>
      </c>
      <c r="G48" s="2"/>
      <c r="H48" s="7">
        <v>704.86</v>
      </c>
      <c r="I48" s="2"/>
      <c r="J48" s="8">
        <f t="shared" si="25"/>
        <v>0</v>
      </c>
      <c r="K48" s="2"/>
      <c r="L48" s="7">
        <f t="shared" si="26"/>
        <v>-704.86</v>
      </c>
      <c r="M48" s="2"/>
      <c r="N48" s="8">
        <f t="shared" si="27"/>
        <v>-1</v>
      </c>
      <c r="O48" s="11"/>
      <c r="P48" s="7">
        <v>0.87</v>
      </c>
      <c r="Q48" s="2"/>
      <c r="R48" s="8">
        <f t="shared" si="28"/>
        <v>0</v>
      </c>
      <c r="S48" s="2"/>
      <c r="T48" s="7">
        <v>705.91</v>
      </c>
      <c r="U48" s="2"/>
      <c r="V48" s="8">
        <f t="shared" si="29"/>
        <v>0</v>
      </c>
      <c r="W48" s="2"/>
      <c r="X48" s="7">
        <f t="shared" si="30"/>
        <v>-705.04</v>
      </c>
      <c r="Y48" s="2"/>
      <c r="Z48" s="8">
        <f t="shared" si="31"/>
        <v>-0.9987675482710261</v>
      </c>
    </row>
    <row r="49" spans="1:26" s="24" customFormat="1" hidden="1" outlineLevel="2" x14ac:dyDescent="0.3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6880.67</v>
      </c>
      <c r="E49" s="2"/>
      <c r="F49" s="8">
        <f t="shared" si="24"/>
        <v>0</v>
      </c>
      <c r="G49" s="2"/>
      <c r="H49" s="7"/>
      <c r="I49" s="2"/>
      <c r="J49" s="8">
        <f t="shared" si="25"/>
        <v>0</v>
      </c>
      <c r="K49" s="2"/>
      <c r="L49" s="7">
        <f t="shared" si="26"/>
        <v>6880.67</v>
      </c>
      <c r="M49" s="2"/>
      <c r="N49" s="8">
        <f t="shared" si="27"/>
        <v>0</v>
      </c>
      <c r="O49" s="11"/>
      <c r="P49" s="7">
        <v>7757.26</v>
      </c>
      <c r="Q49" s="2"/>
      <c r="R49" s="8">
        <f t="shared" si="28"/>
        <v>0</v>
      </c>
      <c r="S49" s="2"/>
      <c r="T49" s="7">
        <v>37.46</v>
      </c>
      <c r="U49" s="2"/>
      <c r="V49" s="8">
        <f t="shared" si="29"/>
        <v>0</v>
      </c>
      <c r="W49" s="2"/>
      <c r="X49" s="7">
        <f t="shared" si="30"/>
        <v>7719.8</v>
      </c>
      <c r="Y49" s="2"/>
      <c r="Z49" s="8">
        <f t="shared" si="31"/>
        <v>206.08115323011211</v>
      </c>
    </row>
    <row r="50" spans="1:26" s="28" customFormat="1" outlineLevel="1" collapsed="1" x14ac:dyDescent="0.3">
      <c r="A50" s="29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SUM(OSRRefD22_9x_0)</f>
        <v>4344.42</v>
      </c>
      <c r="E50" s="1"/>
      <c r="F50" s="5">
        <f t="shared" ref="F50:F52" si="32">IF(D$12=0,0,D50/D$12)</f>
        <v>0</v>
      </c>
      <c r="G50" s="1"/>
      <c r="H50" s="1">
        <f>SUM(OSRRefH22_9x_0)</f>
        <v>0</v>
      </c>
      <c r="I50" s="1"/>
      <c r="J50" s="5">
        <f t="shared" ref="J50:J52" si="33">IF(H$12=0,0,H50/H$12)</f>
        <v>0</v>
      </c>
      <c r="K50" s="1"/>
      <c r="L50" s="1">
        <f t="shared" ref="L50:L52" si="34">+D50-H50</f>
        <v>4344.42</v>
      </c>
      <c r="M50" s="1"/>
      <c r="N50" s="5">
        <f t="shared" ref="N50:N52" si="35">IF(H50=0,0,L50/H50)</f>
        <v>0</v>
      </c>
      <c r="O50" s="14"/>
      <c r="P50" s="1">
        <f>SUM(OSRRefP22_9x_0)</f>
        <v>5014.5200000000004</v>
      </c>
      <c r="Q50" s="1"/>
      <c r="R50" s="5">
        <f t="shared" ref="R50:R52" si="36">IF(P$12=0,0,P50/P$12)</f>
        <v>0</v>
      </c>
      <c r="S50" s="1"/>
      <c r="T50" s="1">
        <f>SUM(OSRRefT22_9x_0)</f>
        <v>0</v>
      </c>
      <c r="U50" s="1"/>
      <c r="V50" s="5">
        <f t="shared" ref="V50:V52" si="37">IF(T$12=0,0,T50/T$12)</f>
        <v>0</v>
      </c>
      <c r="W50" s="1"/>
      <c r="X50" s="1">
        <f t="shared" ref="X50:X52" si="38">+P50-T50</f>
        <v>5014.5200000000004</v>
      </c>
      <c r="Y50" s="1"/>
      <c r="Z50" s="5">
        <f t="shared" ref="Z50:Z52" si="39">IF(T50=0,0,X50/T50)</f>
        <v>0</v>
      </c>
    </row>
    <row r="51" spans="1:26" s="24" customFormat="1" hidden="1" outlineLevel="2" x14ac:dyDescent="0.3">
      <c r="A51" s="27"/>
      <c r="B51" s="11" t="str">
        <f>CONCATENATE("          ", "6282", " - ", "JANITORIAL/EXTERMINATOR EXPENS")</f>
        <v xml:space="preserve">          6282 - JANITORIAL/EXTERMINATOR EXPENS</v>
      </c>
      <c r="C51" s="11"/>
      <c r="D51" s="7">
        <v>670.1</v>
      </c>
      <c r="E51" s="2"/>
      <c r="F51" s="8">
        <f t="shared" si="32"/>
        <v>0</v>
      </c>
      <c r="G51" s="2"/>
      <c r="H51" s="7"/>
      <c r="I51" s="2"/>
      <c r="J51" s="8">
        <f t="shared" si="33"/>
        <v>0</v>
      </c>
      <c r="K51" s="2"/>
      <c r="L51" s="7">
        <f t="shared" si="34"/>
        <v>670.1</v>
      </c>
      <c r="M51" s="2"/>
      <c r="N51" s="8">
        <f t="shared" si="35"/>
        <v>0</v>
      </c>
      <c r="O51" s="11"/>
      <c r="P51" s="7">
        <v>1340.2</v>
      </c>
      <c r="Q51" s="2"/>
      <c r="R51" s="8">
        <f t="shared" si="36"/>
        <v>0</v>
      </c>
      <c r="S51" s="2"/>
      <c r="T51" s="7"/>
      <c r="U51" s="2"/>
      <c r="V51" s="8">
        <f t="shared" si="37"/>
        <v>0</v>
      </c>
      <c r="W51" s="2"/>
      <c r="X51" s="7">
        <f t="shared" si="38"/>
        <v>1340.2</v>
      </c>
      <c r="Y51" s="2"/>
      <c r="Z51" s="8">
        <f t="shared" si="39"/>
        <v>0</v>
      </c>
    </row>
    <row r="52" spans="1:26" s="24" customFormat="1" hidden="1" outlineLevel="2" x14ac:dyDescent="0.3">
      <c r="A52" s="27"/>
      <c r="B52" s="11" t="str">
        <f>CONCATENATE("          ", "6285", " - ", "JANITORIAL SERVICES")</f>
        <v xml:space="preserve">          6285 - JANITORIAL SERVICES</v>
      </c>
      <c r="C52" s="11"/>
      <c r="D52" s="7">
        <v>3674.32</v>
      </c>
      <c r="E52" s="2"/>
      <c r="F52" s="8">
        <f t="shared" si="32"/>
        <v>0</v>
      </c>
      <c r="G52" s="2"/>
      <c r="H52" s="7"/>
      <c r="I52" s="2"/>
      <c r="J52" s="8">
        <f t="shared" si="33"/>
        <v>0</v>
      </c>
      <c r="K52" s="2"/>
      <c r="L52" s="7">
        <f t="shared" si="34"/>
        <v>3674.32</v>
      </c>
      <c r="M52" s="2"/>
      <c r="N52" s="8">
        <f t="shared" si="35"/>
        <v>0</v>
      </c>
      <c r="O52" s="11"/>
      <c r="P52" s="7">
        <v>3674.32</v>
      </c>
      <c r="Q52" s="2"/>
      <c r="R52" s="8">
        <f t="shared" si="36"/>
        <v>0</v>
      </c>
      <c r="S52" s="2"/>
      <c r="T52" s="7"/>
      <c r="U52" s="2"/>
      <c r="V52" s="8">
        <f t="shared" si="37"/>
        <v>0</v>
      </c>
      <c r="W52" s="2"/>
      <c r="X52" s="7">
        <f t="shared" si="38"/>
        <v>3674.32</v>
      </c>
      <c r="Y52" s="2"/>
      <c r="Z52" s="8">
        <f t="shared" si="39"/>
        <v>0</v>
      </c>
    </row>
    <row r="53" spans="1:26" s="28" customFormat="1" outlineLevel="1" collapsed="1" x14ac:dyDescent="0.3">
      <c r="A53" s="29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SUM(OSRRefD22_10x_0)</f>
        <v>4.41</v>
      </c>
      <c r="E53" s="1"/>
      <c r="F53" s="5">
        <f t="shared" ref="F53:F60" si="40">IF(D$12=0,0,D53/D$12)</f>
        <v>0</v>
      </c>
      <c r="G53" s="1"/>
      <c r="H53" s="1">
        <f>SUM(OSRRefH22_10x_0)</f>
        <v>-29200.77</v>
      </c>
      <c r="I53" s="1"/>
      <c r="J53" s="5">
        <f t="shared" ref="J53:J60" si="41">IF(H$12=0,0,H53/H$12)</f>
        <v>0</v>
      </c>
      <c r="K53" s="1"/>
      <c r="L53" s="1">
        <f t="shared" ref="L53:L60" si="42">+D53-H53</f>
        <v>29205.18</v>
      </c>
      <c r="M53" s="1"/>
      <c r="N53" s="5">
        <f t="shared" ref="N53:N60" si="43">IF(H53=0,0,L53/H53)</f>
        <v>-1.0001510234147934</v>
      </c>
      <c r="O53" s="14"/>
      <c r="P53" s="1">
        <f>SUM(OSRRefP22_10x_0)</f>
        <v>160.16</v>
      </c>
      <c r="Q53" s="1"/>
      <c r="R53" s="5">
        <f t="shared" ref="R53:R60" si="44">IF(P$12=0,0,P53/P$12)</f>
        <v>0</v>
      </c>
      <c r="S53" s="1"/>
      <c r="T53" s="1">
        <f>SUM(OSRRefT22_10x_0)</f>
        <v>-29200.77</v>
      </c>
      <c r="U53" s="1"/>
      <c r="V53" s="5">
        <f t="shared" ref="V53:V60" si="45">IF(T$12=0,0,T53/T$12)</f>
        <v>0</v>
      </c>
      <c r="W53" s="1"/>
      <c r="X53" s="1">
        <f t="shared" ref="X53:X60" si="46">+P53-T53</f>
        <v>29360.93</v>
      </c>
      <c r="Y53" s="1"/>
      <c r="Z53" s="5">
        <f t="shared" ref="Z53:Z60" si="47">IF(T53=0,0,X53/T53)</f>
        <v>-1.0054847868737709</v>
      </c>
    </row>
    <row r="54" spans="1:26" s="24" customFormat="1" hidden="1" outlineLevel="2" x14ac:dyDescent="0.3">
      <c r="A54" s="27"/>
      <c r="B54" s="11" t="str">
        <f>CONCATENATE("          ", "6241", " - ", "OFFICE EXPENSE")</f>
        <v xml:space="preserve">          6241 - OFFICE EXPENSE</v>
      </c>
      <c r="C54" s="11"/>
      <c r="D54" s="7">
        <v>4.41</v>
      </c>
      <c r="E54" s="2"/>
      <c r="F54" s="8">
        <f t="shared" si="40"/>
        <v>0</v>
      </c>
      <c r="G54" s="2"/>
      <c r="H54" s="7">
        <v>-29200.77</v>
      </c>
      <c r="I54" s="2"/>
      <c r="J54" s="8">
        <f t="shared" si="41"/>
        <v>0</v>
      </c>
      <c r="K54" s="2"/>
      <c r="L54" s="7">
        <f t="shared" si="42"/>
        <v>29205.18</v>
      </c>
      <c r="M54" s="2"/>
      <c r="N54" s="8">
        <f t="shared" si="43"/>
        <v>-1.0001510234147934</v>
      </c>
      <c r="O54" s="11"/>
      <c r="P54" s="7">
        <v>160.16</v>
      </c>
      <c r="Q54" s="2"/>
      <c r="R54" s="8">
        <f t="shared" si="44"/>
        <v>0</v>
      </c>
      <c r="S54" s="2"/>
      <c r="T54" s="7">
        <v>-29200.77</v>
      </c>
      <c r="U54" s="2"/>
      <c r="V54" s="8">
        <f t="shared" si="45"/>
        <v>0</v>
      </c>
      <c r="W54" s="2"/>
      <c r="X54" s="7">
        <f t="shared" si="46"/>
        <v>29360.93</v>
      </c>
      <c r="Y54" s="2"/>
      <c r="Z54" s="8">
        <f t="shared" si="47"/>
        <v>-1.0054847868737709</v>
      </c>
    </row>
    <row r="55" spans="1:26" s="28" customFormat="1" outlineLevel="1" collapsed="1" x14ac:dyDescent="0.3">
      <c r="A55" s="29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SUM(OSRRefD22_11x_0)</f>
        <v>235.45</v>
      </c>
      <c r="E55" s="1"/>
      <c r="F55" s="5">
        <f t="shared" si="40"/>
        <v>0</v>
      </c>
      <c r="G55" s="1"/>
      <c r="H55" s="1">
        <f>SUM(OSRRefH22_11x_0)</f>
        <v>353.3</v>
      </c>
      <c r="I55" s="1"/>
      <c r="J55" s="5">
        <f t="shared" si="41"/>
        <v>0</v>
      </c>
      <c r="K55" s="1"/>
      <c r="L55" s="1">
        <f t="shared" si="42"/>
        <v>-117.85000000000002</v>
      </c>
      <c r="M55" s="1"/>
      <c r="N55" s="5">
        <f t="shared" si="43"/>
        <v>-0.33356920464194739</v>
      </c>
      <c r="O55" s="14"/>
      <c r="P55" s="1">
        <f>SUM(OSRRefP22_11x_0)</f>
        <v>355</v>
      </c>
      <c r="Q55" s="1"/>
      <c r="R55" s="5">
        <f t="shared" si="44"/>
        <v>0</v>
      </c>
      <c r="S55" s="1"/>
      <c r="T55" s="1">
        <f>SUM(OSRRefT22_11x_0)</f>
        <v>779.3</v>
      </c>
      <c r="U55" s="1"/>
      <c r="V55" s="5">
        <f t="shared" si="45"/>
        <v>0</v>
      </c>
      <c r="W55" s="1"/>
      <c r="X55" s="1">
        <f t="shared" si="46"/>
        <v>-424.29999999999995</v>
      </c>
      <c r="Y55" s="1"/>
      <c r="Z55" s="5">
        <f t="shared" si="47"/>
        <v>-0.54446297959707424</v>
      </c>
    </row>
    <row r="56" spans="1:26" s="24" customFormat="1" hidden="1" outlineLevel="2" x14ac:dyDescent="0.3">
      <c r="A56" s="27"/>
      <c r="B56" s="11" t="str">
        <f>CONCATENATE("          ", "6309", " - ", "TELEPHONE")</f>
        <v xml:space="preserve">          6309 - TELEPHONE</v>
      </c>
      <c r="C56" s="11"/>
      <c r="D56" s="7">
        <v>235.45</v>
      </c>
      <c r="E56" s="2"/>
      <c r="F56" s="8">
        <f t="shared" si="40"/>
        <v>0</v>
      </c>
      <c r="G56" s="2"/>
      <c r="H56" s="7">
        <v>353.3</v>
      </c>
      <c r="I56" s="2"/>
      <c r="J56" s="8">
        <f t="shared" si="41"/>
        <v>0</v>
      </c>
      <c r="K56" s="2"/>
      <c r="L56" s="7">
        <f t="shared" si="42"/>
        <v>-117.85000000000002</v>
      </c>
      <c r="M56" s="2"/>
      <c r="N56" s="8">
        <f t="shared" si="43"/>
        <v>-0.33356920464194739</v>
      </c>
      <c r="O56" s="11"/>
      <c r="P56" s="7">
        <v>355</v>
      </c>
      <c r="Q56" s="2"/>
      <c r="R56" s="8">
        <f t="shared" si="44"/>
        <v>0</v>
      </c>
      <c r="S56" s="2"/>
      <c r="T56" s="7">
        <v>779.3</v>
      </c>
      <c r="U56" s="2"/>
      <c r="V56" s="8">
        <f t="shared" si="45"/>
        <v>0</v>
      </c>
      <c r="W56" s="2"/>
      <c r="X56" s="7">
        <f t="shared" si="46"/>
        <v>-424.29999999999995</v>
      </c>
      <c r="Y56" s="2"/>
      <c r="Z56" s="8">
        <f t="shared" si="47"/>
        <v>-0.54446297959707424</v>
      </c>
    </row>
    <row r="57" spans="1:26" s="28" customFormat="1" outlineLevel="1" collapsed="1" x14ac:dyDescent="0.3">
      <c r="A57" s="29"/>
      <c r="B57" s="14" t="str">
        <f>CONCATENATE("     ","Travel                                            ")</f>
        <v xml:space="preserve">     Travel                                            </v>
      </c>
      <c r="C57" s="14"/>
      <c r="D57" s="1">
        <f>SUM(OSRRefD22_12x_0)</f>
        <v>0</v>
      </c>
      <c r="E57" s="1"/>
      <c r="F57" s="5">
        <f t="shared" si="40"/>
        <v>0</v>
      </c>
      <c r="G57" s="1"/>
      <c r="H57" s="1">
        <f>SUM(OSRRefH22_12x_0)</f>
        <v>0</v>
      </c>
      <c r="I57" s="1"/>
      <c r="J57" s="5">
        <f t="shared" si="41"/>
        <v>0</v>
      </c>
      <c r="K57" s="1"/>
      <c r="L57" s="1">
        <f t="shared" si="42"/>
        <v>0</v>
      </c>
      <c r="M57" s="1"/>
      <c r="N57" s="5">
        <f t="shared" si="43"/>
        <v>0</v>
      </c>
      <c r="O57" s="14"/>
      <c r="P57" s="1">
        <f>SUM(OSRRefP22_12x_0)</f>
        <v>0</v>
      </c>
      <c r="Q57" s="1"/>
      <c r="R57" s="5">
        <f t="shared" si="44"/>
        <v>0</v>
      </c>
      <c r="S57" s="1"/>
      <c r="T57" s="1">
        <f>SUM(OSRRefT22_12x_0)</f>
        <v>179.69</v>
      </c>
      <c r="U57" s="1"/>
      <c r="V57" s="5">
        <f t="shared" si="45"/>
        <v>0</v>
      </c>
      <c r="W57" s="1"/>
      <c r="X57" s="1">
        <f t="shared" si="46"/>
        <v>-179.69</v>
      </c>
      <c r="Y57" s="1"/>
      <c r="Z57" s="5">
        <f t="shared" si="47"/>
        <v>-1</v>
      </c>
    </row>
    <row r="58" spans="1:26" s="24" customFormat="1" hidden="1" outlineLevel="2" x14ac:dyDescent="0.3">
      <c r="A58" s="27"/>
      <c r="B58" s="11" t="str">
        <f>CONCATENATE("          ", "6298", " - ", "VEHICLE MILEAGE")</f>
        <v xml:space="preserve">          6298 - VEHICLE MILEAGE</v>
      </c>
      <c r="C58" s="11"/>
      <c r="D58" s="7"/>
      <c r="E58" s="2"/>
      <c r="F58" s="8">
        <f t="shared" si="40"/>
        <v>0</v>
      </c>
      <c r="G58" s="2"/>
      <c r="H58" s="7"/>
      <c r="I58" s="2"/>
      <c r="J58" s="8">
        <f t="shared" si="41"/>
        <v>0</v>
      </c>
      <c r="K58" s="2"/>
      <c r="L58" s="7">
        <f t="shared" si="42"/>
        <v>0</v>
      </c>
      <c r="M58" s="2"/>
      <c r="N58" s="8">
        <f t="shared" si="43"/>
        <v>0</v>
      </c>
      <c r="O58" s="11"/>
      <c r="P58" s="7"/>
      <c r="Q58" s="2"/>
      <c r="R58" s="8">
        <f t="shared" si="44"/>
        <v>0</v>
      </c>
      <c r="S58" s="2"/>
      <c r="T58" s="7">
        <v>179.69</v>
      </c>
      <c r="U58" s="2"/>
      <c r="V58" s="8">
        <f t="shared" si="45"/>
        <v>0</v>
      </c>
      <c r="W58" s="2"/>
      <c r="X58" s="7">
        <f t="shared" si="46"/>
        <v>-179.69</v>
      </c>
      <c r="Y58" s="2"/>
      <c r="Z58" s="8">
        <f t="shared" si="47"/>
        <v>-1</v>
      </c>
    </row>
    <row r="59" spans="1:26" s="28" customFormat="1" outlineLevel="1" collapsed="1" x14ac:dyDescent="0.3">
      <c r="A59" s="29"/>
      <c r="B59" s="14" t="str">
        <f>CONCATENATE("     ","Utilities                                         ")</f>
        <v xml:space="preserve">     Utilities                                         </v>
      </c>
      <c r="C59" s="14"/>
      <c r="D59" s="1">
        <f>SUM(OSRRefD22_13x_0)</f>
        <v>5550</v>
      </c>
      <c r="E59" s="1"/>
      <c r="F59" s="5">
        <f t="shared" si="40"/>
        <v>0</v>
      </c>
      <c r="G59" s="1"/>
      <c r="H59" s="1">
        <f>SUM(OSRRefH22_13x_0)</f>
        <v>0</v>
      </c>
      <c r="I59" s="1"/>
      <c r="J59" s="5">
        <f t="shared" si="41"/>
        <v>0</v>
      </c>
      <c r="K59" s="1"/>
      <c r="L59" s="1">
        <f t="shared" si="42"/>
        <v>5550</v>
      </c>
      <c r="M59" s="1"/>
      <c r="N59" s="5">
        <f t="shared" si="43"/>
        <v>0</v>
      </c>
      <c r="O59" s="14"/>
      <c r="P59" s="1">
        <f>SUM(OSRRefP22_13x_0)</f>
        <v>11100</v>
      </c>
      <c r="Q59" s="1"/>
      <c r="R59" s="5">
        <f t="shared" si="44"/>
        <v>0</v>
      </c>
      <c r="S59" s="1"/>
      <c r="T59" s="1">
        <f>SUM(OSRRefT22_13x_0)</f>
        <v>0</v>
      </c>
      <c r="U59" s="1"/>
      <c r="V59" s="5">
        <f t="shared" si="45"/>
        <v>0</v>
      </c>
      <c r="W59" s="1"/>
      <c r="X59" s="1">
        <f t="shared" si="46"/>
        <v>11100</v>
      </c>
      <c r="Y59" s="1"/>
      <c r="Z59" s="5">
        <f t="shared" si="47"/>
        <v>0</v>
      </c>
    </row>
    <row r="60" spans="1:26" s="24" customFormat="1" hidden="1" outlineLevel="2" x14ac:dyDescent="0.3">
      <c r="A60" s="27"/>
      <c r="B60" s="11" t="str">
        <f>CONCATENATE("          ", "6274", " - ", "UTILITIES")</f>
        <v xml:space="preserve">          6274 - UTILITIES</v>
      </c>
      <c r="C60" s="11"/>
      <c r="D60" s="7">
        <v>5550</v>
      </c>
      <c r="E60" s="2"/>
      <c r="F60" s="8">
        <f t="shared" si="40"/>
        <v>0</v>
      </c>
      <c r="G60" s="2"/>
      <c r="H60" s="7"/>
      <c r="I60" s="2"/>
      <c r="J60" s="8">
        <f t="shared" si="41"/>
        <v>0</v>
      </c>
      <c r="K60" s="2"/>
      <c r="L60" s="7">
        <f t="shared" si="42"/>
        <v>5550</v>
      </c>
      <c r="M60" s="2"/>
      <c r="N60" s="8">
        <f t="shared" si="43"/>
        <v>0</v>
      </c>
      <c r="O60" s="11"/>
      <c r="P60" s="7">
        <v>11100</v>
      </c>
      <c r="Q60" s="2"/>
      <c r="R60" s="8">
        <f t="shared" si="44"/>
        <v>0</v>
      </c>
      <c r="S60" s="2"/>
      <c r="T60" s="7"/>
      <c r="U60" s="2"/>
      <c r="V60" s="8">
        <f t="shared" si="45"/>
        <v>0</v>
      </c>
      <c r="W60" s="2"/>
      <c r="X60" s="7">
        <f t="shared" si="46"/>
        <v>11100</v>
      </c>
      <c r="Y60" s="2"/>
      <c r="Z60" s="8">
        <f t="shared" si="47"/>
        <v>0</v>
      </c>
    </row>
    <row r="61" spans="1:26" s="61" customFormat="1" x14ac:dyDescent="0.3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collapsed="1" x14ac:dyDescent="0.3">
      <c r="A62" s="10"/>
      <c r="B62" s="26" t="s">
        <v>292</v>
      </c>
      <c r="C62" s="10"/>
      <c r="D62" s="4">
        <f>SUM(OSRRefD25x_0)</f>
        <v>1041.32</v>
      </c>
      <c r="E62" s="4"/>
      <c r="F62" s="12">
        <f t="shared" ref="F62:F64" si="48">IF(D$12=0,0,D62/D$12)</f>
        <v>0</v>
      </c>
      <c r="G62" s="4"/>
      <c r="H62" s="4">
        <f>SUM(OSRRefH25x_0)</f>
        <v>626.42999999999995</v>
      </c>
      <c r="I62" s="4"/>
      <c r="J62" s="12">
        <f t="shared" ref="J62:J64" si="49">IF(H$12=0,0,H62/H$12)</f>
        <v>0</v>
      </c>
      <c r="K62" s="4"/>
      <c r="L62" s="4">
        <f t="shared" ref="L62:L64" si="50">+D62-H62</f>
        <v>414.89</v>
      </c>
      <c r="M62" s="4"/>
      <c r="N62" s="12">
        <f t="shared" ref="N62:N64" si="51">IF(H62=0,0,L62/H62)</f>
        <v>0.66230863783662985</v>
      </c>
      <c r="O62" s="10"/>
      <c r="P62" s="4">
        <f>SUM(OSRRefP25x_0)</f>
        <v>2456.29</v>
      </c>
      <c r="Q62" s="4"/>
      <c r="R62" s="12">
        <f t="shared" ref="R62:R64" si="52">IF(P$12=0,0,P62/P$12)</f>
        <v>0</v>
      </c>
      <c r="S62" s="4"/>
      <c r="T62" s="4">
        <f>SUM(OSRRefT25x_0)</f>
        <v>1138.8399999999999</v>
      </c>
      <c r="U62" s="4"/>
      <c r="V62" s="12">
        <f t="shared" ref="V62:V64" si="53">IF(T$12=0,0,T62/T$12)</f>
        <v>0</v>
      </c>
      <c r="W62" s="4"/>
      <c r="X62" s="4">
        <f t="shared" ref="X62:X64" si="54">+P62-T62</f>
        <v>1317.45</v>
      </c>
      <c r="Y62" s="4"/>
      <c r="Z62" s="12">
        <f t="shared" ref="Z62:Z64" si="55">IF(T62=0,0,X62/T62)</f>
        <v>1.1568350251132733</v>
      </c>
    </row>
    <row r="63" spans="1:26" s="24" customFormat="1" hidden="1" outlineLevel="1" x14ac:dyDescent="0.3">
      <c r="A63" s="44"/>
      <c r="B63" s="11" t="str">
        <f>CONCATENATE("          ", "9150", " - ", "MISC. INCOME")</f>
        <v xml:space="preserve">          9150 - MISC. INCOME</v>
      </c>
      <c r="C63" s="11"/>
      <c r="D63" s="2">
        <f>--1041.32</f>
        <v>1041.32</v>
      </c>
      <c r="E63" s="2"/>
      <c r="F63" s="19">
        <f t="shared" si="48"/>
        <v>0</v>
      </c>
      <c r="G63" s="2"/>
      <c r="H63" s="2">
        <f>0</f>
        <v>0</v>
      </c>
      <c r="I63" s="2"/>
      <c r="J63" s="19">
        <f t="shared" si="49"/>
        <v>0</v>
      </c>
      <c r="K63" s="2"/>
      <c r="L63" s="2">
        <f t="shared" si="50"/>
        <v>1041.32</v>
      </c>
      <c r="M63" s="2"/>
      <c r="N63" s="19">
        <f t="shared" si="51"/>
        <v>0</v>
      </c>
      <c r="O63" s="11"/>
      <c r="P63" s="2">
        <f>--2456.29</f>
        <v>2456.29</v>
      </c>
      <c r="Q63" s="2"/>
      <c r="R63" s="19">
        <f t="shared" si="52"/>
        <v>0</v>
      </c>
      <c r="S63" s="2"/>
      <c r="T63" s="2">
        <f>--512.41</f>
        <v>512.41</v>
      </c>
      <c r="U63" s="2"/>
      <c r="V63" s="19">
        <f t="shared" si="53"/>
        <v>0</v>
      </c>
      <c r="W63" s="2"/>
      <c r="X63" s="2">
        <f t="shared" si="54"/>
        <v>1943.88</v>
      </c>
      <c r="Y63" s="2"/>
      <c r="Z63" s="19">
        <f t="shared" si="55"/>
        <v>3.7936027790246096</v>
      </c>
    </row>
    <row r="64" spans="1:26" s="24" customFormat="1" hidden="1" outlineLevel="1" x14ac:dyDescent="0.3">
      <c r="A64" s="44"/>
      <c r="B64" s="11" t="str">
        <f>CONCATENATE("          ", "9160", " - ", "MISC. INCOME")</f>
        <v xml:space="preserve">          9160 - MISC. INCOME</v>
      </c>
      <c r="C64" s="11"/>
      <c r="D64" s="2">
        <f>0</f>
        <v>0</v>
      </c>
      <c r="E64" s="2"/>
      <c r="F64" s="19">
        <f t="shared" si="48"/>
        <v>0</v>
      </c>
      <c r="G64" s="2"/>
      <c r="H64" s="2">
        <f>--626.43</f>
        <v>626.42999999999995</v>
      </c>
      <c r="I64" s="2"/>
      <c r="J64" s="19">
        <f t="shared" si="49"/>
        <v>0</v>
      </c>
      <c r="K64" s="2"/>
      <c r="L64" s="2">
        <f t="shared" si="50"/>
        <v>-626.42999999999995</v>
      </c>
      <c r="M64" s="2"/>
      <c r="N64" s="19">
        <f t="shared" si="51"/>
        <v>-1</v>
      </c>
      <c r="O64" s="11"/>
      <c r="P64" s="2">
        <f>0</f>
        <v>0</v>
      </c>
      <c r="Q64" s="2"/>
      <c r="R64" s="19">
        <f t="shared" si="52"/>
        <v>0</v>
      </c>
      <c r="S64" s="2"/>
      <c r="T64" s="2">
        <f>--626.43</f>
        <v>626.42999999999995</v>
      </c>
      <c r="U64" s="2"/>
      <c r="V64" s="19">
        <f t="shared" si="53"/>
        <v>0</v>
      </c>
      <c r="W64" s="2"/>
      <c r="X64" s="2">
        <f t="shared" si="54"/>
        <v>-626.42999999999995</v>
      </c>
      <c r="Y64" s="2"/>
      <c r="Z64" s="19">
        <f t="shared" si="55"/>
        <v>-1</v>
      </c>
    </row>
    <row r="65" spans="1:26" x14ac:dyDescent="0.3">
      <c r="A65" s="9"/>
      <c r="B65" s="10"/>
      <c r="C65" s="10"/>
      <c r="D65" s="3"/>
      <c r="E65" s="3"/>
      <c r="F65" s="6"/>
      <c r="G65" s="3"/>
      <c r="H65" s="3"/>
      <c r="I65" s="3"/>
      <c r="J65" s="6"/>
      <c r="K65" s="3"/>
      <c r="L65" s="3"/>
      <c r="M65" s="3"/>
      <c r="N65" s="6"/>
      <c r="O65" s="10"/>
      <c r="P65" s="3"/>
      <c r="Q65" s="3"/>
      <c r="R65" s="6"/>
      <c r="S65" s="3"/>
      <c r="T65" s="3"/>
      <c r="U65" s="3"/>
      <c r="V65" s="6"/>
      <c r="W65" s="3"/>
      <c r="X65" s="3"/>
      <c r="Y65" s="3"/>
      <c r="Z65" s="6"/>
    </row>
    <row r="66" spans="1:26" s="23" customFormat="1" x14ac:dyDescent="0.3">
      <c r="A66" s="10"/>
      <c r="B66" s="25" t="s">
        <v>276</v>
      </c>
      <c r="C66" s="25"/>
      <c r="D66" s="20">
        <f>+D16-D18+D62</f>
        <v>-56464.99</v>
      </c>
      <c r="E66" s="13"/>
      <c r="F66" s="22">
        <f>IF(D$12=0,0,D66/D$12)</f>
        <v>0</v>
      </c>
      <c r="G66" s="13"/>
      <c r="H66" s="20">
        <f>+H16-H18+H62</f>
        <v>956.43000000000279</v>
      </c>
      <c r="I66" s="13"/>
      <c r="J66" s="22">
        <f>IF(H$12=0,0,H66/H$12)</f>
        <v>0</v>
      </c>
      <c r="K66" s="15"/>
      <c r="L66" s="20">
        <f>+D66-H66</f>
        <v>-57421.42</v>
      </c>
      <c r="M66" s="15"/>
      <c r="N66" s="22">
        <f>IF(H66=0,0,L66/H66)</f>
        <v>-60.037242662818848</v>
      </c>
      <c r="O66" s="26"/>
      <c r="P66" s="20">
        <f>+P16-P18+P62</f>
        <v>-103601.96</v>
      </c>
      <c r="Q66" s="13"/>
      <c r="R66" s="22">
        <f>IF(P$12=0,0,P66/P$12)</f>
        <v>0</v>
      </c>
      <c r="S66" s="13"/>
      <c r="T66" s="20">
        <f>+T16-T18+T62</f>
        <v>-29183.370000000003</v>
      </c>
      <c r="U66" s="13"/>
      <c r="V66" s="22">
        <f>IF(T$12=0,0,T66/T$12)</f>
        <v>0</v>
      </c>
      <c r="W66" s="15"/>
      <c r="X66" s="20">
        <f>+P66-T66</f>
        <v>-74418.59</v>
      </c>
      <c r="Y66" s="15"/>
      <c r="Z66" s="22">
        <f>IF(T66=0,0,X66/T66)</f>
        <v>2.5500341461592679</v>
      </c>
    </row>
    <row r="67" spans="1:26" x14ac:dyDescent="0.3">
      <c r="A67" s="9"/>
      <c r="B67" s="10"/>
      <c r="C67" s="9"/>
      <c r="D67" s="3"/>
      <c r="E67" s="3"/>
      <c r="F67" s="6"/>
      <c r="G67" s="3"/>
      <c r="H67" s="3"/>
      <c r="I67" s="3"/>
      <c r="J67" s="6"/>
      <c r="K67" s="3"/>
      <c r="L67" s="3"/>
      <c r="M67" s="3"/>
      <c r="N67" s="6"/>
      <c r="P67" s="3"/>
      <c r="Q67" s="3"/>
      <c r="R67" s="6"/>
      <c r="S67" s="3"/>
      <c r="T67" s="3"/>
      <c r="U67" s="3"/>
      <c r="V67" s="6"/>
      <c r="W67" s="3"/>
      <c r="X67" s="3"/>
      <c r="Y67" s="3"/>
      <c r="Z67" s="6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6"/>
      <c r="G69" s="3"/>
      <c r="H69" s="3"/>
      <c r="I69" s="3"/>
      <c r="J69" s="6"/>
      <c r="K69" s="3"/>
      <c r="L69" s="3"/>
      <c r="M69" s="3"/>
      <c r="N69" s="6"/>
      <c r="O69" s="10"/>
      <c r="P69" s="3"/>
      <c r="Q69" s="3"/>
      <c r="R69" s="6"/>
      <c r="S69" s="3"/>
      <c r="T69" s="3"/>
      <c r="U69" s="3"/>
      <c r="V69" s="6"/>
      <c r="W69" s="3"/>
      <c r="X69" s="3"/>
      <c r="Y69" s="3"/>
      <c r="Z69" s="6"/>
    </row>
    <row r="70" spans="1:26" s="23" customFormat="1" ht="15" thickBot="1" x14ac:dyDescent="0.35">
      <c r="A70" s="10"/>
      <c r="B70" s="25" t="s">
        <v>125</v>
      </c>
      <c r="C70" s="25"/>
      <c r="D70" s="33">
        <f>+D66-D68</f>
        <v>-56464.99</v>
      </c>
      <c r="E70" s="13"/>
      <c r="F70" s="36">
        <f>IF(D$12=0,0,D70/D$12)</f>
        <v>0</v>
      </c>
      <c r="G70" s="13"/>
      <c r="H70" s="33">
        <f>+H66-H68</f>
        <v>956.43000000000279</v>
      </c>
      <c r="I70" s="13"/>
      <c r="J70" s="36">
        <f>IF(H$12=0,0,H70/H$12)</f>
        <v>0</v>
      </c>
      <c r="K70" s="15"/>
      <c r="L70" s="33">
        <f>D70-H70</f>
        <v>-57421.42</v>
      </c>
      <c r="M70" s="15"/>
      <c r="N70" s="36">
        <f>IF(H70=0,0,L70/H70)</f>
        <v>-60.037242662818848</v>
      </c>
      <c r="O70" s="26"/>
      <c r="P70" s="33">
        <f>+P66-P68</f>
        <v>-103601.96</v>
      </c>
      <c r="Q70" s="13"/>
      <c r="R70" s="36">
        <f>IF(P$12=0,0,P70/P$12)</f>
        <v>0</v>
      </c>
      <c r="S70" s="13"/>
      <c r="T70" s="33">
        <f>+T66-T68</f>
        <v>-29183.370000000003</v>
      </c>
      <c r="U70" s="13"/>
      <c r="V70" s="36">
        <f>IF(T$12=0,0,T70/T$12)</f>
        <v>0</v>
      </c>
      <c r="W70" s="15"/>
      <c r="X70" s="33">
        <f>P70-T70</f>
        <v>-74418.59</v>
      </c>
      <c r="Y70" s="15"/>
      <c r="Z70" s="36">
        <f>IF(T70=0,0,X70/T70)</f>
        <v>2.5500341461592679</v>
      </c>
    </row>
    <row r="71" spans="1:26" ht="15" thickTop="1" x14ac:dyDescent="0.3">
      <c r="A71" s="9"/>
      <c r="B71" s="9"/>
      <c r="C71" s="9"/>
      <c r="D71" s="3"/>
      <c r="E71" s="3"/>
      <c r="F71" s="6"/>
      <c r="G71" s="3"/>
      <c r="H71" s="3"/>
      <c r="I71" s="3"/>
      <c r="J71" s="6"/>
      <c r="K71" s="3"/>
      <c r="L71" s="3"/>
      <c r="M71" s="3"/>
      <c r="N71" s="6"/>
      <c r="P71" s="3"/>
      <c r="Q71" s="3"/>
      <c r="R71" s="6"/>
      <c r="S71" s="3"/>
      <c r="T71" s="3"/>
      <c r="U71" s="3"/>
      <c r="V71" s="6"/>
      <c r="W71" s="3"/>
      <c r="X71" s="3"/>
      <c r="Y71" s="3"/>
      <c r="Z71" s="6"/>
    </row>
    <row r="72" spans="1:26" x14ac:dyDescent="0.3">
      <c r="A72" s="9"/>
      <c r="B72" s="9"/>
      <c r="C72" s="9"/>
      <c r="D72" s="3"/>
      <c r="E72" s="3"/>
      <c r="F72" s="6"/>
      <c r="G72" s="3"/>
      <c r="H72" s="3"/>
      <c r="I72" s="3"/>
      <c r="J72" s="6"/>
      <c r="K72" s="3"/>
      <c r="L72" s="3"/>
      <c r="M72" s="3"/>
      <c r="N72" s="6"/>
      <c r="P72" s="3"/>
      <c r="Q72" s="3"/>
      <c r="R72" s="6"/>
      <c r="S72" s="3"/>
      <c r="T72" s="3"/>
      <c r="U72" s="3"/>
      <c r="V72" s="6"/>
      <c r="W72" s="3"/>
      <c r="X72" s="3"/>
      <c r="Y72" s="3"/>
      <c r="Z72" s="6"/>
    </row>
    <row r="73" spans="1:26" s="23" customFormat="1" ht="15" thickBot="1" x14ac:dyDescent="0.35">
      <c r="A73" s="10"/>
      <c r="B73" s="25" t="s">
        <v>293</v>
      </c>
      <c r="C73" s="25"/>
      <c r="D73" s="30">
        <f>SUM(D70:D72)</f>
        <v>-56464.99</v>
      </c>
      <c r="E73" s="13"/>
      <c r="F73" s="31">
        <f>IF(D$12=0,0,D73/D$12)</f>
        <v>0</v>
      </c>
      <c r="G73" s="13"/>
      <c r="H73" s="30">
        <f>SUM(H70:H72)</f>
        <v>956.43000000000279</v>
      </c>
      <c r="I73" s="13"/>
      <c r="J73" s="31">
        <f>IF(H$12=0,0,H73/H$12)</f>
        <v>0</v>
      </c>
      <c r="K73" s="15"/>
      <c r="L73" s="30">
        <f>+D73-H73</f>
        <v>-57421.42</v>
      </c>
      <c r="M73" s="15"/>
      <c r="N73" s="31">
        <f>IF(H73=0,0,L73/H73)</f>
        <v>-60.037242662818848</v>
      </c>
      <c r="O73" s="26"/>
      <c r="P73" s="30">
        <f>SUM(P70:P72)</f>
        <v>-103601.96</v>
      </c>
      <c r="Q73" s="13"/>
      <c r="R73" s="31">
        <f>IF(P$12=0,0,P73/P$12)</f>
        <v>0</v>
      </c>
      <c r="S73" s="13"/>
      <c r="T73" s="30">
        <f>SUM(T70:T72)</f>
        <v>-29183.370000000003</v>
      </c>
      <c r="U73" s="13"/>
      <c r="V73" s="31">
        <f>IF(T$12=0,0,T73/T$12)</f>
        <v>0</v>
      </c>
      <c r="W73" s="15"/>
      <c r="X73" s="30">
        <f>+P73-T73</f>
        <v>-74418.59</v>
      </c>
      <c r="Y73" s="15"/>
      <c r="Z73" s="31">
        <f>IF(T73=0,0,X73/T73)</f>
        <v>2.5500341461592679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3">
      <c r="A75" s="9"/>
      <c r="B75" s="59">
        <v>44470.840542939812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8" t="s">
        <v>56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52"/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","412", " - ", "Chartroom")</f>
        <v>Department 412 - Chartroom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613.36</v>
      </c>
      <c r="E18" s="21"/>
      <c r="F18" s="32">
        <f t="shared" ref="F18:F28" si="0">IF(D$12=0,0,D18/D$12)</f>
        <v>0</v>
      </c>
      <c r="G18" s="21"/>
      <c r="H18" s="21">
        <f>SUM(OSRRefH22x_0)</f>
        <v>976.21999999999991</v>
      </c>
      <c r="I18" s="21"/>
      <c r="J18" s="32">
        <f t="shared" ref="J18:J28" si="1">IF(H$12=0,0,H18/H$12)</f>
        <v>0</v>
      </c>
      <c r="K18" s="4"/>
      <c r="L18" s="21">
        <f t="shared" ref="L18:L28" si="2">+D18-H18</f>
        <v>-362.8599999999999</v>
      </c>
      <c r="M18" s="4"/>
      <c r="N18" s="32">
        <f t="shared" ref="N18:N28" si="3">IF(H18=0,0,L18/H18)</f>
        <v>-0.37169900227407748</v>
      </c>
      <c r="O18" s="10"/>
      <c r="P18" s="21">
        <f>SUM(OSRRefP22x_0)</f>
        <v>1226.72</v>
      </c>
      <c r="Q18" s="21"/>
      <c r="R18" s="32">
        <f t="shared" ref="R18:R28" si="4">IF(P$12=0,0,P18/P$12)</f>
        <v>0</v>
      </c>
      <c r="S18" s="21"/>
      <c r="T18" s="21">
        <f>SUM(OSRRefT22x_0)</f>
        <v>2057.21</v>
      </c>
      <c r="U18" s="21"/>
      <c r="V18" s="32">
        <f t="shared" ref="V18:V28" si="5">IF(T$12=0,0,T18/T$12)</f>
        <v>0</v>
      </c>
      <c r="W18" s="4"/>
      <c r="X18" s="21">
        <f t="shared" ref="X18:X28" si="6">+P18-T18</f>
        <v>-830.49</v>
      </c>
      <c r="Y18" s="4"/>
      <c r="Z18" s="32">
        <f t="shared" ref="Z18:Z28" si="7">IF(T18=0,0,X18/T18)</f>
        <v>-0.40369724043729127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690.36</v>
      </c>
      <c r="I19" s="1"/>
      <c r="J19" s="5">
        <f t="shared" si="1"/>
        <v>0</v>
      </c>
      <c r="K19" s="1"/>
      <c r="L19" s="1">
        <f t="shared" si="2"/>
        <v>-113</v>
      </c>
      <c r="M19" s="1"/>
      <c r="N19" s="5">
        <f t="shared" si="3"/>
        <v>-0.16368271626397821</v>
      </c>
      <c r="O19" s="14"/>
      <c r="P19" s="1">
        <f>SUM(OSRRefP22_0x_0)</f>
        <v>1154.72</v>
      </c>
      <c r="Q19" s="1"/>
      <c r="R19" s="5">
        <f t="shared" si="4"/>
        <v>0</v>
      </c>
      <c r="S19" s="1"/>
      <c r="T19" s="1">
        <f>SUM(OSRRefT22_0x_0)</f>
        <v>1380.72</v>
      </c>
      <c r="U19" s="1"/>
      <c r="V19" s="5">
        <f t="shared" si="5"/>
        <v>0</v>
      </c>
      <c r="W19" s="1"/>
      <c r="X19" s="1">
        <f t="shared" si="6"/>
        <v>-226</v>
      </c>
      <c r="Y19" s="1"/>
      <c r="Z19" s="5">
        <f t="shared" si="7"/>
        <v>-0.16368271626397821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8">
        <f t="shared" si="0"/>
        <v>0</v>
      </c>
      <c r="G20" s="2"/>
      <c r="H20" s="7">
        <v>690.36</v>
      </c>
      <c r="I20" s="2"/>
      <c r="J20" s="8">
        <f t="shared" si="1"/>
        <v>0</v>
      </c>
      <c r="K20" s="2"/>
      <c r="L20" s="7">
        <f t="shared" si="2"/>
        <v>-113</v>
      </c>
      <c r="M20" s="2"/>
      <c r="N20" s="8">
        <f t="shared" si="3"/>
        <v>-0.16368271626397821</v>
      </c>
      <c r="O20" s="11"/>
      <c r="P20" s="7">
        <v>1154.72</v>
      </c>
      <c r="Q20" s="2"/>
      <c r="R20" s="8">
        <f t="shared" si="4"/>
        <v>0</v>
      </c>
      <c r="S20" s="2"/>
      <c r="T20" s="7">
        <v>1380.72</v>
      </c>
      <c r="U20" s="2"/>
      <c r="V20" s="8">
        <f t="shared" si="5"/>
        <v>0</v>
      </c>
      <c r="W20" s="2"/>
      <c r="X20" s="7">
        <f t="shared" si="6"/>
        <v>-226</v>
      </c>
      <c r="Y20" s="2"/>
      <c r="Z20" s="8">
        <f t="shared" si="7"/>
        <v>-0.16368271626397821</v>
      </c>
    </row>
    <row r="21" spans="1:26" s="28" customFormat="1" outlineLevel="1" collapsed="1" x14ac:dyDescent="0.3">
      <c r="A21" s="29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"6351", " - ", "EQUIPMENT RENTAL")</f>
        <v xml:space="preserve">          6351 - EQUIPMENT RENTAL</v>
      </c>
      <c r="C22" s="11"/>
      <c r="D22" s="7"/>
      <c r="E22" s="2"/>
      <c r="F22" s="8">
        <f t="shared" si="0"/>
        <v>0</v>
      </c>
      <c r="G22" s="2"/>
      <c r="H22" s="7"/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/>
      <c r="Q22" s="2"/>
      <c r="R22" s="8">
        <f t="shared" si="4"/>
        <v>0</v>
      </c>
      <c r="S22" s="2"/>
      <c r="T22" s="7">
        <v>16.239999999999998</v>
      </c>
      <c r="U22" s="2"/>
      <c r="V22" s="8">
        <f t="shared" si="5"/>
        <v>0</v>
      </c>
      <c r="W22" s="2"/>
      <c r="X22" s="7">
        <f t="shared" si="6"/>
        <v>-16.239999999999998</v>
      </c>
      <c r="Y22" s="2"/>
      <c r="Z22" s="8">
        <f t="shared" si="7"/>
        <v>-1</v>
      </c>
    </row>
    <row r="23" spans="1:26" s="28" customFormat="1" outlineLevel="1" collapsed="1" x14ac:dyDescent="0.3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157.19999999999999</v>
      </c>
      <c r="I23" s="1"/>
      <c r="J23" s="5">
        <f t="shared" si="1"/>
        <v>0</v>
      </c>
      <c r="K23" s="1"/>
      <c r="L23" s="1">
        <f t="shared" si="2"/>
        <v>-157.19999999999999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157.19999999999999</v>
      </c>
      <c r="U23" s="1"/>
      <c r="V23" s="5">
        <f t="shared" si="5"/>
        <v>0</v>
      </c>
      <c r="W23" s="1"/>
      <c r="X23" s="1">
        <f t="shared" si="6"/>
        <v>-157.19999999999999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8">
        <f t="shared" si="0"/>
        <v>0</v>
      </c>
      <c r="G24" s="2"/>
      <c r="H24" s="7">
        <v>157.19999999999999</v>
      </c>
      <c r="I24" s="2"/>
      <c r="J24" s="8">
        <f t="shared" si="1"/>
        <v>0</v>
      </c>
      <c r="K24" s="2"/>
      <c r="L24" s="7">
        <f t="shared" si="2"/>
        <v>-157.19999999999999</v>
      </c>
      <c r="M24" s="2"/>
      <c r="N24" s="8">
        <f t="shared" si="3"/>
        <v>-1</v>
      </c>
      <c r="O24" s="11"/>
      <c r="P24" s="7"/>
      <c r="Q24" s="2"/>
      <c r="R24" s="8">
        <f t="shared" si="4"/>
        <v>0</v>
      </c>
      <c r="S24" s="2"/>
      <c r="T24" s="7">
        <v>157.19999999999999</v>
      </c>
      <c r="U24" s="2"/>
      <c r="V24" s="8">
        <f t="shared" si="5"/>
        <v>0</v>
      </c>
      <c r="W24" s="2"/>
      <c r="X24" s="7">
        <f t="shared" si="6"/>
        <v>-157.19999999999999</v>
      </c>
      <c r="Y24" s="2"/>
      <c r="Z24" s="8">
        <f t="shared" si="7"/>
        <v>-1</v>
      </c>
    </row>
    <row r="25" spans="1:26" s="28" customFormat="1" outlineLevel="1" collapsed="1" x14ac:dyDescent="0.3">
      <c r="A25" s="29"/>
      <c r="B25" s="14" t="str">
        <f>CONCATENATE("     ","Services                                          ")</f>
        <v xml:space="preserve">     Services 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320.58</v>
      </c>
      <c r="U25" s="1"/>
      <c r="V25" s="5">
        <f t="shared" si="5"/>
        <v>0</v>
      </c>
      <c r="W25" s="1"/>
      <c r="X25" s="1">
        <f t="shared" si="6"/>
        <v>-320.58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1" t="str">
        <f>CONCATENATE("          ", "6286", " - ", "LAUNDRY EXPENSE")</f>
        <v xml:space="preserve">          6286 - LAUNDRY EXPENSE</v>
      </c>
      <c r="C26" s="11"/>
      <c r="D26" s="7"/>
      <c r="E26" s="2"/>
      <c r="F26" s="8">
        <f t="shared" si="0"/>
        <v>0</v>
      </c>
      <c r="G26" s="2"/>
      <c r="H26" s="7"/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/>
      <c r="Q26" s="2"/>
      <c r="R26" s="8">
        <f t="shared" si="4"/>
        <v>0</v>
      </c>
      <c r="S26" s="2"/>
      <c r="T26" s="7">
        <v>320.58</v>
      </c>
      <c r="U26" s="2"/>
      <c r="V26" s="8">
        <f t="shared" si="5"/>
        <v>0</v>
      </c>
      <c r="W26" s="2"/>
      <c r="X26" s="7">
        <f t="shared" si="6"/>
        <v>-320.58</v>
      </c>
      <c r="Y26" s="2"/>
      <c r="Z26" s="8">
        <f t="shared" si="7"/>
        <v>-1</v>
      </c>
    </row>
    <row r="27" spans="1:26" s="28" customFormat="1" outlineLevel="1" collapsed="1" x14ac:dyDescent="0.3">
      <c r="A27" s="29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36</v>
      </c>
      <c r="E27" s="1"/>
      <c r="F27" s="5">
        <f t="shared" si="0"/>
        <v>0</v>
      </c>
      <c r="G27" s="1"/>
      <c r="H27" s="1">
        <f>SUM(OSRRefH22_4x_0)</f>
        <v>128.66</v>
      </c>
      <c r="I27" s="1"/>
      <c r="J27" s="5">
        <f t="shared" si="1"/>
        <v>0</v>
      </c>
      <c r="K27" s="1"/>
      <c r="L27" s="1">
        <f t="shared" si="2"/>
        <v>-92.66</v>
      </c>
      <c r="M27" s="1"/>
      <c r="N27" s="5">
        <f t="shared" si="3"/>
        <v>-0.72019275610135236</v>
      </c>
      <c r="O27" s="14"/>
      <c r="P27" s="1">
        <f>SUM(OSRRefP22_4x_0)</f>
        <v>72</v>
      </c>
      <c r="Q27" s="1"/>
      <c r="R27" s="5">
        <f t="shared" si="4"/>
        <v>0</v>
      </c>
      <c r="S27" s="1"/>
      <c r="T27" s="1">
        <f>SUM(OSRRefT22_4x_0)</f>
        <v>182.47</v>
      </c>
      <c r="U27" s="1"/>
      <c r="V27" s="5">
        <f t="shared" si="5"/>
        <v>0</v>
      </c>
      <c r="W27" s="1"/>
      <c r="X27" s="1">
        <f t="shared" si="6"/>
        <v>-110.47</v>
      </c>
      <c r="Y27" s="1"/>
      <c r="Z27" s="5">
        <f t="shared" si="7"/>
        <v>-0.60541458869951226</v>
      </c>
    </row>
    <row r="28" spans="1:26" s="24" customFormat="1" hidden="1" outlineLevel="2" x14ac:dyDescent="0.3">
      <c r="A28" s="27"/>
      <c r="B28" s="11" t="str">
        <f>CONCATENATE("          ", "6309", " - ", "TELEPHONE")</f>
        <v xml:space="preserve">          6309 - TELEPHONE</v>
      </c>
      <c r="C28" s="11"/>
      <c r="D28" s="7">
        <v>36</v>
      </c>
      <c r="E28" s="2"/>
      <c r="F28" s="8">
        <f t="shared" si="0"/>
        <v>0</v>
      </c>
      <c r="G28" s="2"/>
      <c r="H28" s="7">
        <v>128.66</v>
      </c>
      <c r="I28" s="2"/>
      <c r="J28" s="8">
        <f t="shared" si="1"/>
        <v>0</v>
      </c>
      <c r="K28" s="2"/>
      <c r="L28" s="7">
        <f t="shared" si="2"/>
        <v>-92.66</v>
      </c>
      <c r="M28" s="2"/>
      <c r="N28" s="8">
        <f t="shared" si="3"/>
        <v>-0.72019275610135236</v>
      </c>
      <c r="O28" s="11"/>
      <c r="P28" s="7">
        <v>72</v>
      </c>
      <c r="Q28" s="2"/>
      <c r="R28" s="8">
        <f t="shared" si="4"/>
        <v>0</v>
      </c>
      <c r="S28" s="2"/>
      <c r="T28" s="7">
        <v>182.47</v>
      </c>
      <c r="U28" s="2"/>
      <c r="V28" s="8">
        <f t="shared" si="5"/>
        <v>0</v>
      </c>
      <c r="W28" s="2"/>
      <c r="X28" s="7">
        <f t="shared" si="6"/>
        <v>-110.47</v>
      </c>
      <c r="Y28" s="2"/>
      <c r="Z28" s="8">
        <f t="shared" si="7"/>
        <v>-0.60541458869951226</v>
      </c>
    </row>
    <row r="29" spans="1:26" s="61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O31" s="10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10"/>
      <c r="B32" s="25" t="s">
        <v>276</v>
      </c>
      <c r="C32" s="25"/>
      <c r="D32" s="20">
        <f>+D16-D18+D30</f>
        <v>-613.36</v>
      </c>
      <c r="E32" s="13"/>
      <c r="F32" s="22">
        <f>IF(D$12=0,0,D32/D$12)</f>
        <v>0</v>
      </c>
      <c r="G32" s="13"/>
      <c r="H32" s="20">
        <f>+H16-H18+H30</f>
        <v>-976.21999999999991</v>
      </c>
      <c r="I32" s="13"/>
      <c r="J32" s="22">
        <f>IF(H$12=0,0,H32/H$12)</f>
        <v>0</v>
      </c>
      <c r="K32" s="15"/>
      <c r="L32" s="20">
        <f>+D32-H32</f>
        <v>362.8599999999999</v>
      </c>
      <c r="M32" s="15"/>
      <c r="N32" s="22">
        <f>IF(H32=0,0,L32/H32)</f>
        <v>-0.37169900227407748</v>
      </c>
      <c r="O32" s="26"/>
      <c r="P32" s="20">
        <f>+P16-P18+P30</f>
        <v>-1226.72</v>
      </c>
      <c r="Q32" s="13"/>
      <c r="R32" s="22">
        <f>IF(P$12=0,0,P32/P$12)</f>
        <v>0</v>
      </c>
      <c r="S32" s="13"/>
      <c r="T32" s="20">
        <f>+T16-T18+T30</f>
        <v>-2057.21</v>
      </c>
      <c r="U32" s="13"/>
      <c r="V32" s="22">
        <f>IF(T$12=0,0,T32/T$12)</f>
        <v>0</v>
      </c>
      <c r="W32" s="15"/>
      <c r="X32" s="20">
        <f>+P32-T32</f>
        <v>830.49</v>
      </c>
      <c r="Y32" s="15"/>
      <c r="Z32" s="22">
        <f>IF(T32=0,0,X32/T32)</f>
        <v>-0.40369724043729127</v>
      </c>
    </row>
    <row r="33" spans="1:26" x14ac:dyDescent="0.3">
      <c r="A33" s="9"/>
      <c r="B33" s="10"/>
      <c r="C33" s="9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O35" s="10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125</v>
      </c>
      <c r="C36" s="25"/>
      <c r="D36" s="33">
        <f>+D32-D34</f>
        <v>-613.36</v>
      </c>
      <c r="E36" s="13"/>
      <c r="F36" s="36">
        <f>IF(D$12=0,0,D36/D$12)</f>
        <v>0</v>
      </c>
      <c r="G36" s="13"/>
      <c r="H36" s="33">
        <f>+H32-H34</f>
        <v>-976.21999999999991</v>
      </c>
      <c r="I36" s="13"/>
      <c r="J36" s="36">
        <f>IF(H$12=0,0,H36/H$12)</f>
        <v>0</v>
      </c>
      <c r="K36" s="15"/>
      <c r="L36" s="33">
        <f>D36-H36</f>
        <v>362.8599999999999</v>
      </c>
      <c r="M36" s="15"/>
      <c r="N36" s="36">
        <f>IF(H36=0,0,L36/H36)</f>
        <v>-0.37169900227407748</v>
      </c>
      <c r="O36" s="26"/>
      <c r="P36" s="33">
        <f>+P32-P34</f>
        <v>-1226.72</v>
      </c>
      <c r="Q36" s="13"/>
      <c r="R36" s="36">
        <f>IF(P$12=0,0,P36/P$12)</f>
        <v>0</v>
      </c>
      <c r="S36" s="13"/>
      <c r="T36" s="33">
        <f>+T32-T34</f>
        <v>-2057.21</v>
      </c>
      <c r="U36" s="13"/>
      <c r="V36" s="36">
        <f>IF(T$12=0,0,T36/T$12)</f>
        <v>0</v>
      </c>
      <c r="W36" s="15"/>
      <c r="X36" s="33">
        <f>P36-T36</f>
        <v>830.49</v>
      </c>
      <c r="Y36" s="15"/>
      <c r="Z36" s="36">
        <f>IF(T36=0,0,X36/T36)</f>
        <v>-0.40369724043729127</v>
      </c>
    </row>
    <row r="37" spans="1:26" ht="15" thickTop="1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x14ac:dyDescent="0.3">
      <c r="A38" s="9"/>
      <c r="B38" s="9"/>
      <c r="C38" s="9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ht="15" thickBot="1" x14ac:dyDescent="0.35">
      <c r="A39" s="10"/>
      <c r="B39" s="25" t="s">
        <v>293</v>
      </c>
      <c r="C39" s="25"/>
      <c r="D39" s="30">
        <f>SUM(D36:D38)</f>
        <v>-613.36</v>
      </c>
      <c r="E39" s="13"/>
      <c r="F39" s="31">
        <f>IF(D$12=0,0,D39/D$12)</f>
        <v>0</v>
      </c>
      <c r="G39" s="13"/>
      <c r="H39" s="30">
        <f>SUM(H36:H38)</f>
        <v>-976.21999999999991</v>
      </c>
      <c r="I39" s="13"/>
      <c r="J39" s="31">
        <f>IF(H$12=0,0,H39/H$12)</f>
        <v>0</v>
      </c>
      <c r="K39" s="15"/>
      <c r="L39" s="30">
        <f>+D39-H39</f>
        <v>362.8599999999999</v>
      </c>
      <c r="M39" s="15"/>
      <c r="N39" s="31">
        <f>IF(H39=0,0,L39/H39)</f>
        <v>-0.37169900227407748</v>
      </c>
      <c r="O39" s="26"/>
      <c r="P39" s="30">
        <f>SUM(P36:P38)</f>
        <v>-1226.72</v>
      </c>
      <c r="Q39" s="13"/>
      <c r="R39" s="31">
        <f>IF(P$12=0,0,P39/P$12)</f>
        <v>0</v>
      </c>
      <c r="S39" s="13"/>
      <c r="T39" s="30">
        <f>SUM(T36:T38)</f>
        <v>-2057.21</v>
      </c>
      <c r="U39" s="13"/>
      <c r="V39" s="31">
        <f>IF(T$12=0,0,T39/T$12)</f>
        <v>0</v>
      </c>
      <c r="W39" s="15"/>
      <c r="X39" s="30">
        <f>+P39-T39</f>
        <v>830.49</v>
      </c>
      <c r="Y39" s="15"/>
      <c r="Z39" s="31">
        <f>IF(T39=0,0,X39/T39)</f>
        <v>-0.40369724043729127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9">
        <v>44470.840542939812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8" t="s">
        <v>56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A43" s="9"/>
      <c r="B43" s="52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3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","413", " - ", "Beach Walk")</f>
        <v>Department 413 - Beach Walk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58.03</v>
      </c>
      <c r="E18" s="21"/>
      <c r="F18" s="32">
        <f t="shared" ref="F18:F24" si="0">IF(D$12=0,0,D18/D$12)</f>
        <v>0</v>
      </c>
      <c r="G18" s="21"/>
      <c r="H18" s="21">
        <f>SUM(OSRRefH22x_0)</f>
        <v>157.63</v>
      </c>
      <c r="I18" s="21"/>
      <c r="J18" s="32">
        <f t="shared" ref="J18:J24" si="1">IF(H$12=0,0,H18/H$12)</f>
        <v>0</v>
      </c>
      <c r="K18" s="4"/>
      <c r="L18" s="21">
        <f t="shared" ref="L18:L24" si="2">+D18-H18</f>
        <v>-99.6</v>
      </c>
      <c r="M18" s="4"/>
      <c r="N18" s="32">
        <f t="shared" ref="N18:N24" si="3">IF(H18=0,0,L18/H18)</f>
        <v>-0.6318594176235488</v>
      </c>
      <c r="O18" s="10"/>
      <c r="P18" s="21">
        <f>SUM(OSRRefP22x_0)</f>
        <v>116.06</v>
      </c>
      <c r="Q18" s="21"/>
      <c r="R18" s="32">
        <f t="shared" ref="R18:R24" si="4">IF(P$12=0,0,P18/P$12)</f>
        <v>0</v>
      </c>
      <c r="S18" s="21"/>
      <c r="T18" s="21">
        <f>SUM(OSRRefT22x_0)</f>
        <v>4276.1899999999996</v>
      </c>
      <c r="U18" s="21"/>
      <c r="V18" s="32">
        <f t="shared" ref="V18:V24" si="5">IF(T$12=0,0,T18/T$12)</f>
        <v>0</v>
      </c>
      <c r="W18" s="4"/>
      <c r="X18" s="21">
        <f t="shared" ref="X18:X24" si="6">+P18-T18</f>
        <v>-4160.1299999999992</v>
      </c>
      <c r="Y18" s="4"/>
      <c r="Z18" s="32">
        <f t="shared" ref="Z18:Z24" si="7">IF(T18=0,0,X18/T18)</f>
        <v>-0.97285901702216215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/>
      <c r="E20" s="2"/>
      <c r="F20" s="8">
        <f t="shared" si="0"/>
        <v>0</v>
      </c>
      <c r="G20" s="2"/>
      <c r="H20" s="7"/>
      <c r="I20" s="2"/>
      <c r="J20" s="8">
        <f t="shared" si="1"/>
        <v>0</v>
      </c>
      <c r="K20" s="2"/>
      <c r="L20" s="7">
        <f t="shared" si="2"/>
        <v>0</v>
      </c>
      <c r="M20" s="2"/>
      <c r="N20" s="8">
        <f t="shared" si="3"/>
        <v>0</v>
      </c>
      <c r="O20" s="11"/>
      <c r="P20" s="7"/>
      <c r="Q20" s="2"/>
      <c r="R20" s="8">
        <f t="shared" si="4"/>
        <v>0</v>
      </c>
      <c r="S20" s="2"/>
      <c r="T20" s="7">
        <v>191.51</v>
      </c>
      <c r="U20" s="2"/>
      <c r="V20" s="8">
        <f t="shared" si="5"/>
        <v>0</v>
      </c>
      <c r="W20" s="2"/>
      <c r="X20" s="7">
        <f t="shared" si="6"/>
        <v>-191.51</v>
      </c>
      <c r="Y20" s="2"/>
      <c r="Z20" s="8">
        <f t="shared" si="7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8">
        <f t="shared" si="0"/>
        <v>0</v>
      </c>
      <c r="G21" s="2"/>
      <c r="H21" s="7"/>
      <c r="I21" s="2"/>
      <c r="J21" s="8">
        <f t="shared" si="1"/>
        <v>0</v>
      </c>
      <c r="K21" s="2"/>
      <c r="L21" s="7">
        <f t="shared" si="2"/>
        <v>0</v>
      </c>
      <c r="M21" s="2"/>
      <c r="N21" s="8">
        <f t="shared" si="3"/>
        <v>0</v>
      </c>
      <c r="O21" s="11"/>
      <c r="P21" s="7"/>
      <c r="Q21" s="2"/>
      <c r="R21" s="8">
        <f t="shared" si="4"/>
        <v>0</v>
      </c>
      <c r="S21" s="2"/>
      <c r="T21" s="7">
        <v>718.51</v>
      </c>
      <c r="U21" s="2"/>
      <c r="V21" s="8">
        <f t="shared" si="5"/>
        <v>0</v>
      </c>
      <c r="W21" s="2"/>
      <c r="X21" s="7">
        <f t="shared" si="6"/>
        <v>-718.51</v>
      </c>
      <c r="Y21" s="2"/>
      <c r="Z21" s="8">
        <f t="shared" si="7"/>
        <v>-1</v>
      </c>
    </row>
    <row r="22" spans="1:26" s="24" customFormat="1" hidden="1" outlineLevel="2" x14ac:dyDescent="0.3">
      <c r="A22" s="27"/>
      <c r="B22" s="11" t="str">
        <f>CONCATENATE("          ", "6115", " - ", "P.E.R.S.")</f>
        <v xml:space="preserve">          6115 - P.E.R.S.</v>
      </c>
      <c r="C22" s="11"/>
      <c r="D22" s="7"/>
      <c r="E22" s="2"/>
      <c r="F22" s="8">
        <f t="shared" si="0"/>
        <v>0</v>
      </c>
      <c r="G22" s="2"/>
      <c r="H22" s="7"/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/>
      <c r="Q22" s="2"/>
      <c r="R22" s="8">
        <f t="shared" si="4"/>
        <v>0</v>
      </c>
      <c r="S22" s="2"/>
      <c r="T22" s="7">
        <v>377.03</v>
      </c>
      <c r="U22" s="2"/>
      <c r="V22" s="8">
        <f t="shared" si="5"/>
        <v>0</v>
      </c>
      <c r="W22" s="2"/>
      <c r="X22" s="7">
        <f t="shared" si="6"/>
        <v>-377.03</v>
      </c>
      <c r="Y22" s="2"/>
      <c r="Z22" s="8">
        <f t="shared" si="7"/>
        <v>-1</v>
      </c>
    </row>
    <row r="23" spans="1:26" s="24" customFormat="1" hidden="1" outlineLevel="2" x14ac:dyDescent="0.3">
      <c r="A23" s="27"/>
      <c r="B23" s="11" t="str">
        <f>CONCATENATE("          ", "6118", " - ", "VACATION")</f>
        <v xml:space="preserve">          6118 - VACATION</v>
      </c>
      <c r="C23" s="11"/>
      <c r="D23" s="7"/>
      <c r="E23" s="2"/>
      <c r="F23" s="8">
        <f t="shared" si="0"/>
        <v>0</v>
      </c>
      <c r="G23" s="2"/>
      <c r="H23" s="7"/>
      <c r="I23" s="2"/>
      <c r="J23" s="8">
        <f t="shared" si="1"/>
        <v>0</v>
      </c>
      <c r="K23" s="2"/>
      <c r="L23" s="7">
        <f t="shared" si="2"/>
        <v>0</v>
      </c>
      <c r="M23" s="2"/>
      <c r="N23" s="8">
        <f t="shared" si="3"/>
        <v>0</v>
      </c>
      <c r="O23" s="11"/>
      <c r="P23" s="7"/>
      <c r="Q23" s="2"/>
      <c r="R23" s="8">
        <f t="shared" si="4"/>
        <v>0</v>
      </c>
      <c r="S23" s="2"/>
      <c r="T23" s="7">
        <v>93.89</v>
      </c>
      <c r="U23" s="2"/>
      <c r="V23" s="8">
        <f t="shared" si="5"/>
        <v>0</v>
      </c>
      <c r="W23" s="2"/>
      <c r="X23" s="7">
        <f t="shared" si="6"/>
        <v>-93.89</v>
      </c>
      <c r="Y23" s="2"/>
      <c r="Z23" s="8">
        <f t="shared" si="7"/>
        <v>-1</v>
      </c>
    </row>
    <row r="24" spans="1:26" s="24" customFormat="1" hidden="1" outlineLevel="2" x14ac:dyDescent="0.3">
      <c r="A24" s="27"/>
      <c r="B24" s="11" t="str">
        <f>CONCATENATE("          ", "6119", " - ", "SICK LEAVE")</f>
        <v xml:space="preserve">          6119 - SICK LEAVE</v>
      </c>
      <c r="C24" s="11"/>
      <c r="D24" s="7"/>
      <c r="E24" s="2"/>
      <c r="F24" s="8">
        <f t="shared" si="0"/>
        <v>0</v>
      </c>
      <c r="G24" s="2"/>
      <c r="H24" s="7"/>
      <c r="I24" s="2"/>
      <c r="J24" s="8">
        <f t="shared" si="1"/>
        <v>0</v>
      </c>
      <c r="K24" s="2"/>
      <c r="L24" s="7">
        <f t="shared" si="2"/>
        <v>0</v>
      </c>
      <c r="M24" s="2"/>
      <c r="N24" s="8">
        <f t="shared" si="3"/>
        <v>0</v>
      </c>
      <c r="O24" s="11"/>
      <c r="P24" s="7"/>
      <c r="Q24" s="2"/>
      <c r="R24" s="8">
        <f t="shared" si="4"/>
        <v>0</v>
      </c>
      <c r="S24" s="2"/>
      <c r="T24" s="7">
        <v>112.49</v>
      </c>
      <c r="U24" s="2"/>
      <c r="V24" s="8">
        <f t="shared" si="5"/>
        <v>0</v>
      </c>
      <c r="W24" s="2"/>
      <c r="X24" s="7">
        <f t="shared" si="6"/>
        <v>-112.49</v>
      </c>
      <c r="Y24" s="2"/>
      <c r="Z24" s="8">
        <f t="shared" si="7"/>
        <v>-1</v>
      </c>
    </row>
    <row r="25" spans="1:26" s="28" customFormat="1" outlineLevel="1" collapsed="1" x14ac:dyDescent="0.3">
      <c r="A25" s="29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3">
      <c r="A26" s="27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8">
        <f t="shared" si="8"/>
        <v>0</v>
      </c>
      <c r="G26" s="2"/>
      <c r="H26" s="7"/>
      <c r="I26" s="2"/>
      <c r="J26" s="8">
        <f t="shared" si="9"/>
        <v>0</v>
      </c>
      <c r="K26" s="2"/>
      <c r="L26" s="7">
        <f t="shared" si="10"/>
        <v>0</v>
      </c>
      <c r="M26" s="2"/>
      <c r="N26" s="8">
        <f t="shared" si="11"/>
        <v>0</v>
      </c>
      <c r="O26" s="11"/>
      <c r="P26" s="7"/>
      <c r="Q26" s="2"/>
      <c r="R26" s="8">
        <f t="shared" si="12"/>
        <v>0</v>
      </c>
      <c r="S26" s="2"/>
      <c r="T26" s="7">
        <v>2259.48</v>
      </c>
      <c r="U26" s="2"/>
      <c r="V26" s="8">
        <f t="shared" si="13"/>
        <v>0</v>
      </c>
      <c r="W26" s="2"/>
      <c r="X26" s="7">
        <f t="shared" si="14"/>
        <v>-2259.48</v>
      </c>
      <c r="Y26" s="2"/>
      <c r="Z26" s="8">
        <f t="shared" si="15"/>
        <v>-1</v>
      </c>
    </row>
    <row r="27" spans="1:26" s="28" customFormat="1" outlineLevel="1" collapsed="1" x14ac:dyDescent="0.3">
      <c r="A27" s="29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116.06</v>
      </c>
      <c r="Q27" s="1"/>
      <c r="R27" s="5">
        <f t="shared" si="12"/>
        <v>0</v>
      </c>
      <c r="S27" s="1"/>
      <c r="T27" s="1">
        <f>SUM(OSRRefT22_2x_0)</f>
        <v>116.06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3">
      <c r="A28" s="27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58.03</v>
      </c>
      <c r="E28" s="2"/>
      <c r="F28" s="8">
        <f t="shared" si="8"/>
        <v>0</v>
      </c>
      <c r="G28" s="2"/>
      <c r="H28" s="7">
        <v>58.03</v>
      </c>
      <c r="I28" s="2"/>
      <c r="J28" s="8">
        <f t="shared" si="9"/>
        <v>0</v>
      </c>
      <c r="K28" s="2"/>
      <c r="L28" s="7">
        <f t="shared" si="10"/>
        <v>0</v>
      </c>
      <c r="M28" s="2"/>
      <c r="N28" s="8">
        <f t="shared" si="11"/>
        <v>0</v>
      </c>
      <c r="O28" s="11"/>
      <c r="P28" s="7">
        <v>116.06</v>
      </c>
      <c r="Q28" s="2"/>
      <c r="R28" s="8">
        <f t="shared" si="12"/>
        <v>0</v>
      </c>
      <c r="S28" s="2"/>
      <c r="T28" s="7">
        <v>116.06</v>
      </c>
      <c r="U28" s="2"/>
      <c r="V28" s="8">
        <f t="shared" si="13"/>
        <v>0</v>
      </c>
      <c r="W28" s="2"/>
      <c r="X28" s="7">
        <f t="shared" si="14"/>
        <v>0</v>
      </c>
      <c r="Y28" s="2"/>
      <c r="Z28" s="8">
        <f t="shared" si="15"/>
        <v>0</v>
      </c>
    </row>
    <row r="29" spans="1:26" s="28" customFormat="1" outlineLevel="1" collapsed="1" x14ac:dyDescent="0.3">
      <c r="A29" s="29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78.599999999999994</v>
      </c>
      <c r="I29" s="1"/>
      <c r="J29" s="5">
        <f t="shared" si="9"/>
        <v>0</v>
      </c>
      <c r="K29" s="1"/>
      <c r="L29" s="1">
        <f t="shared" si="10"/>
        <v>-78.599999999999994</v>
      </c>
      <c r="M29" s="1"/>
      <c r="N29" s="5">
        <f t="shared" si="11"/>
        <v>-1</v>
      </c>
      <c r="O29" s="14"/>
      <c r="P29" s="1">
        <f>SUM(OSRRefP22_3x_0)</f>
        <v>0</v>
      </c>
      <c r="Q29" s="1"/>
      <c r="R29" s="5">
        <f t="shared" si="12"/>
        <v>0</v>
      </c>
      <c r="S29" s="1"/>
      <c r="T29" s="1">
        <f>SUM(OSRRefT22_3x_0)</f>
        <v>78.599999999999994</v>
      </c>
      <c r="U29" s="1"/>
      <c r="V29" s="5">
        <f t="shared" si="13"/>
        <v>0</v>
      </c>
      <c r="W29" s="1"/>
      <c r="X29" s="1">
        <f t="shared" si="14"/>
        <v>-78.599999999999994</v>
      </c>
      <c r="Y29" s="1"/>
      <c r="Z29" s="5">
        <f t="shared" si="15"/>
        <v>-1</v>
      </c>
    </row>
    <row r="30" spans="1:26" s="24" customFormat="1" hidden="1" outlineLevel="2" x14ac:dyDescent="0.3">
      <c r="A30" s="27"/>
      <c r="B30" s="11" t="str">
        <f>CONCATENATE("          ", "6373", " - ", "MAINTENANCE CONTRACTS")</f>
        <v xml:space="preserve">          6373 - MAINTENANCE CONTRACTS</v>
      </c>
      <c r="C30" s="11"/>
      <c r="D30" s="7"/>
      <c r="E30" s="2"/>
      <c r="F30" s="8">
        <f t="shared" si="8"/>
        <v>0</v>
      </c>
      <c r="G30" s="2"/>
      <c r="H30" s="7">
        <v>78.599999999999994</v>
      </c>
      <c r="I30" s="2"/>
      <c r="J30" s="8">
        <f t="shared" si="9"/>
        <v>0</v>
      </c>
      <c r="K30" s="2"/>
      <c r="L30" s="7">
        <f t="shared" si="10"/>
        <v>-78.599999999999994</v>
      </c>
      <c r="M30" s="2"/>
      <c r="N30" s="8">
        <f t="shared" si="11"/>
        <v>-1</v>
      </c>
      <c r="O30" s="11"/>
      <c r="P30" s="7"/>
      <c r="Q30" s="2"/>
      <c r="R30" s="8">
        <f t="shared" si="12"/>
        <v>0</v>
      </c>
      <c r="S30" s="2"/>
      <c r="T30" s="7">
        <v>78.599999999999994</v>
      </c>
      <c r="U30" s="2"/>
      <c r="V30" s="8">
        <f t="shared" si="13"/>
        <v>0</v>
      </c>
      <c r="W30" s="2"/>
      <c r="X30" s="7">
        <f t="shared" si="14"/>
        <v>-78.599999999999994</v>
      </c>
      <c r="Y30" s="2"/>
      <c r="Z30" s="8">
        <f t="shared" si="15"/>
        <v>-1</v>
      </c>
    </row>
    <row r="31" spans="1:26" s="28" customFormat="1" outlineLevel="1" collapsed="1" x14ac:dyDescent="0.3">
      <c r="A31" s="29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3">
      <c r="A32" s="27"/>
      <c r="B32" s="11" t="str">
        <f>CONCATENATE("          ", "6282", " - ", "JANITORIAL/EXTERMINATOR EXPENS")</f>
        <v xml:space="preserve">          6282 - JANITORIAL/EXTERMINATOR EXPENS</v>
      </c>
      <c r="C32" s="11"/>
      <c r="D32" s="7"/>
      <c r="E32" s="2"/>
      <c r="F32" s="8">
        <f t="shared" si="8"/>
        <v>0</v>
      </c>
      <c r="G32" s="2"/>
      <c r="H32" s="7"/>
      <c r="I32" s="2"/>
      <c r="J32" s="8">
        <f t="shared" si="9"/>
        <v>0</v>
      </c>
      <c r="K32" s="2"/>
      <c r="L32" s="7">
        <f t="shared" si="10"/>
        <v>0</v>
      </c>
      <c r="M32" s="2"/>
      <c r="N32" s="8">
        <f t="shared" si="11"/>
        <v>0</v>
      </c>
      <c r="O32" s="11"/>
      <c r="P32" s="7"/>
      <c r="Q32" s="2"/>
      <c r="R32" s="8">
        <f t="shared" si="12"/>
        <v>0</v>
      </c>
      <c r="S32" s="2"/>
      <c r="T32" s="7">
        <v>286.62</v>
      </c>
      <c r="U32" s="2"/>
      <c r="V32" s="8">
        <f t="shared" si="13"/>
        <v>0</v>
      </c>
      <c r="W32" s="2"/>
      <c r="X32" s="7">
        <f t="shared" si="14"/>
        <v>-286.62</v>
      </c>
      <c r="Y32" s="2"/>
      <c r="Z32" s="8">
        <f t="shared" si="15"/>
        <v>-1</v>
      </c>
    </row>
    <row r="33" spans="1:26" s="28" customFormat="1" outlineLevel="1" collapsed="1" x14ac:dyDescent="0.3">
      <c r="A33" s="29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21</v>
      </c>
      <c r="I33" s="1"/>
      <c r="J33" s="5">
        <f t="shared" si="9"/>
        <v>0</v>
      </c>
      <c r="K33" s="1"/>
      <c r="L33" s="1">
        <f t="shared" si="10"/>
        <v>-21</v>
      </c>
      <c r="M33" s="1"/>
      <c r="N33" s="5">
        <f t="shared" si="11"/>
        <v>-1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42</v>
      </c>
      <c r="U33" s="1"/>
      <c r="V33" s="5">
        <f t="shared" si="13"/>
        <v>0</v>
      </c>
      <c r="W33" s="1"/>
      <c r="X33" s="1">
        <f t="shared" si="14"/>
        <v>-42</v>
      </c>
      <c r="Y33" s="1"/>
      <c r="Z33" s="5">
        <f t="shared" si="15"/>
        <v>-1</v>
      </c>
    </row>
    <row r="34" spans="1:26" s="24" customFormat="1" hidden="1" outlineLevel="2" x14ac:dyDescent="0.3">
      <c r="A34" s="27"/>
      <c r="B34" s="11" t="str">
        <f>CONCATENATE("          ", "6309", " - ", "TELEPHONE")</f>
        <v xml:space="preserve">          6309 - TELEPHONE</v>
      </c>
      <c r="C34" s="11"/>
      <c r="D34" s="7"/>
      <c r="E34" s="2"/>
      <c r="F34" s="8">
        <f t="shared" si="8"/>
        <v>0</v>
      </c>
      <c r="G34" s="2"/>
      <c r="H34" s="7">
        <v>21</v>
      </c>
      <c r="I34" s="2"/>
      <c r="J34" s="8">
        <f t="shared" si="9"/>
        <v>0</v>
      </c>
      <c r="K34" s="2"/>
      <c r="L34" s="7">
        <f t="shared" si="10"/>
        <v>-21</v>
      </c>
      <c r="M34" s="2"/>
      <c r="N34" s="8">
        <f t="shared" si="11"/>
        <v>-1</v>
      </c>
      <c r="O34" s="11"/>
      <c r="P34" s="7"/>
      <c r="Q34" s="2"/>
      <c r="R34" s="8">
        <f t="shared" si="12"/>
        <v>0</v>
      </c>
      <c r="S34" s="2"/>
      <c r="T34" s="7">
        <v>42</v>
      </c>
      <c r="U34" s="2"/>
      <c r="V34" s="8">
        <f t="shared" si="13"/>
        <v>0</v>
      </c>
      <c r="W34" s="2"/>
      <c r="X34" s="7">
        <f t="shared" si="14"/>
        <v>-42</v>
      </c>
      <c r="Y34" s="2"/>
      <c r="Z34" s="8">
        <f t="shared" si="15"/>
        <v>-1</v>
      </c>
    </row>
    <row r="35" spans="1:26" s="61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6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O37" s="10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s="23" customFormat="1" x14ac:dyDescent="0.3">
      <c r="A38" s="10"/>
      <c r="B38" s="25" t="s">
        <v>276</v>
      </c>
      <c r="C38" s="25"/>
      <c r="D38" s="20">
        <f>+D16-D18+D36</f>
        <v>-58.03</v>
      </c>
      <c r="E38" s="13"/>
      <c r="F38" s="22">
        <f>IF(D$12=0,0,D38/D$12)</f>
        <v>0</v>
      </c>
      <c r="G38" s="13"/>
      <c r="H38" s="20">
        <f>+H16-H18+H36</f>
        <v>-157.63</v>
      </c>
      <c r="I38" s="13"/>
      <c r="J38" s="22">
        <f>IF(H$12=0,0,H38/H$12)</f>
        <v>0</v>
      </c>
      <c r="K38" s="15"/>
      <c r="L38" s="20">
        <f>+D38-H38</f>
        <v>99.6</v>
      </c>
      <c r="M38" s="15"/>
      <c r="N38" s="22">
        <f>IF(H38=0,0,L38/H38)</f>
        <v>-0.6318594176235488</v>
      </c>
      <c r="O38" s="26"/>
      <c r="P38" s="20">
        <f>+P16-P18+P36</f>
        <v>-116.06</v>
      </c>
      <c r="Q38" s="13"/>
      <c r="R38" s="22">
        <f>IF(P$12=0,0,P38/P$12)</f>
        <v>0</v>
      </c>
      <c r="S38" s="13"/>
      <c r="T38" s="20">
        <f>+T16-T18+T36</f>
        <v>-4276.1899999999996</v>
      </c>
      <c r="U38" s="13"/>
      <c r="V38" s="22">
        <f>IF(T$12=0,0,T38/T$12)</f>
        <v>0</v>
      </c>
      <c r="W38" s="15"/>
      <c r="X38" s="20">
        <f>+P38-T38</f>
        <v>4160.1299999999992</v>
      </c>
      <c r="Y38" s="15"/>
      <c r="Z38" s="22">
        <f>IF(T38=0,0,X38/T38)</f>
        <v>-0.97285901702216215</v>
      </c>
    </row>
    <row r="39" spans="1:26" x14ac:dyDescent="0.3">
      <c r="A39" s="9"/>
      <c r="B39" s="10"/>
      <c r="C39" s="9"/>
      <c r="D39" s="3"/>
      <c r="E39" s="3"/>
      <c r="F39" s="6"/>
      <c r="G39" s="3"/>
      <c r="H39" s="3"/>
      <c r="I39" s="3"/>
      <c r="J39" s="6"/>
      <c r="K39" s="3"/>
      <c r="L39" s="3"/>
      <c r="M39" s="3"/>
      <c r="N39" s="6"/>
      <c r="P39" s="3"/>
      <c r="Q39" s="3"/>
      <c r="R39" s="6"/>
      <c r="S39" s="3"/>
      <c r="T39" s="3"/>
      <c r="U39" s="3"/>
      <c r="V39" s="6"/>
      <c r="W39" s="3"/>
      <c r="X39" s="3"/>
      <c r="Y39" s="3"/>
      <c r="Z39" s="6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6"/>
      <c r="G41" s="3"/>
      <c r="H41" s="3"/>
      <c r="I41" s="3"/>
      <c r="J41" s="6"/>
      <c r="K41" s="3"/>
      <c r="L41" s="3"/>
      <c r="M41" s="3"/>
      <c r="N41" s="6"/>
      <c r="O41" s="10"/>
      <c r="P41" s="3"/>
      <c r="Q41" s="3"/>
      <c r="R41" s="6"/>
      <c r="S41" s="3"/>
      <c r="T41" s="3"/>
      <c r="U41" s="3"/>
      <c r="V41" s="6"/>
      <c r="W41" s="3"/>
      <c r="X41" s="3"/>
      <c r="Y41" s="3"/>
      <c r="Z41" s="6"/>
    </row>
    <row r="42" spans="1:26" s="23" customFormat="1" ht="15" thickBot="1" x14ac:dyDescent="0.35">
      <c r="A42" s="10"/>
      <c r="B42" s="25" t="s">
        <v>125</v>
      </c>
      <c r="C42" s="25"/>
      <c r="D42" s="33">
        <f>+D38-D40</f>
        <v>-58.03</v>
      </c>
      <c r="E42" s="13"/>
      <c r="F42" s="36">
        <f>IF(D$12=0,0,D42/D$12)</f>
        <v>0</v>
      </c>
      <c r="G42" s="13"/>
      <c r="H42" s="33">
        <f>+H38-H40</f>
        <v>-157.63</v>
      </c>
      <c r="I42" s="13"/>
      <c r="J42" s="36">
        <f>IF(H$12=0,0,H42/H$12)</f>
        <v>0</v>
      </c>
      <c r="K42" s="15"/>
      <c r="L42" s="33">
        <f>D42-H42</f>
        <v>99.6</v>
      </c>
      <c r="M42" s="15"/>
      <c r="N42" s="36">
        <f>IF(H42=0,0,L42/H42)</f>
        <v>-0.6318594176235488</v>
      </c>
      <c r="O42" s="26"/>
      <c r="P42" s="33">
        <f>+P38-P40</f>
        <v>-116.06</v>
      </c>
      <c r="Q42" s="13"/>
      <c r="R42" s="36">
        <f>IF(P$12=0,0,P42/P$12)</f>
        <v>0</v>
      </c>
      <c r="S42" s="13"/>
      <c r="T42" s="33">
        <f>+T38-T40</f>
        <v>-4276.1899999999996</v>
      </c>
      <c r="U42" s="13"/>
      <c r="V42" s="36">
        <f>IF(T$12=0,0,T42/T$12)</f>
        <v>0</v>
      </c>
      <c r="W42" s="15"/>
      <c r="X42" s="33">
        <f>P42-T42</f>
        <v>4160.1299999999992</v>
      </c>
      <c r="Y42" s="15"/>
      <c r="Z42" s="36">
        <f>IF(T42=0,0,X42/T42)</f>
        <v>-0.97285901702216215</v>
      </c>
    </row>
    <row r="43" spans="1:26" ht="15" thickTop="1" x14ac:dyDescent="0.3">
      <c r="A43" s="9"/>
      <c r="B43" s="9"/>
      <c r="C43" s="9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x14ac:dyDescent="0.3">
      <c r="A44" s="9"/>
      <c r="B44" s="9"/>
      <c r="C44" s="9"/>
      <c r="D44" s="3"/>
      <c r="E44" s="3"/>
      <c r="F44" s="6"/>
      <c r="G44" s="3"/>
      <c r="H44" s="3"/>
      <c r="I44" s="3"/>
      <c r="J44" s="6"/>
      <c r="K44" s="3"/>
      <c r="L44" s="3"/>
      <c r="M44" s="3"/>
      <c r="N44" s="6"/>
      <c r="P44" s="3"/>
      <c r="Q44" s="3"/>
      <c r="R44" s="6"/>
      <c r="S44" s="3"/>
      <c r="T44" s="3"/>
      <c r="U44" s="3"/>
      <c r="V44" s="6"/>
      <c r="W44" s="3"/>
      <c r="X44" s="3"/>
      <c r="Y44" s="3"/>
      <c r="Z44" s="6"/>
    </row>
    <row r="45" spans="1:26" s="23" customFormat="1" ht="15" thickBot="1" x14ac:dyDescent="0.35">
      <c r="A45" s="10"/>
      <c r="B45" s="25" t="s">
        <v>293</v>
      </c>
      <c r="C45" s="25"/>
      <c r="D45" s="30">
        <f>SUM(D42:D44)</f>
        <v>-58.03</v>
      </c>
      <c r="E45" s="13"/>
      <c r="F45" s="31">
        <f>IF(D$12=0,0,D45/D$12)</f>
        <v>0</v>
      </c>
      <c r="G45" s="13"/>
      <c r="H45" s="30">
        <f>SUM(H42:H44)</f>
        <v>-157.63</v>
      </c>
      <c r="I45" s="13"/>
      <c r="J45" s="31">
        <f>IF(H$12=0,0,H45/H$12)</f>
        <v>0</v>
      </c>
      <c r="K45" s="15"/>
      <c r="L45" s="30">
        <f>+D45-H45</f>
        <v>99.6</v>
      </c>
      <c r="M45" s="15"/>
      <c r="N45" s="31">
        <f>IF(H45=0,0,L45/H45)</f>
        <v>-0.6318594176235488</v>
      </c>
      <c r="O45" s="26"/>
      <c r="P45" s="30">
        <f>SUM(P42:P44)</f>
        <v>-116.06</v>
      </c>
      <c r="Q45" s="13"/>
      <c r="R45" s="31">
        <f>IF(P$12=0,0,P45/P$12)</f>
        <v>0</v>
      </c>
      <c r="S45" s="13"/>
      <c r="T45" s="30">
        <f>SUM(T42:T44)</f>
        <v>-4276.1899999999996</v>
      </c>
      <c r="U45" s="13"/>
      <c r="V45" s="31">
        <f>IF(T$12=0,0,T45/T$12)</f>
        <v>0</v>
      </c>
      <c r="W45" s="15"/>
      <c r="X45" s="30">
        <f>+P45-T45</f>
        <v>4160.1299999999992</v>
      </c>
      <c r="Y45" s="15"/>
      <c r="Z45" s="31">
        <f>IF(T45=0,0,X45/T45)</f>
        <v>-0.97285901702216215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59">
        <v>44470.840542939812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A48" s="9"/>
      <c r="B48" s="58" t="s">
        <v>56</v>
      </c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1:24" x14ac:dyDescent="0.3">
      <c r="A49" s="9"/>
      <c r="B49" s="52"/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  <row r="50" spans="1:24" x14ac:dyDescent="0.3">
      <c r="D50" s="17"/>
      <c r="E50" s="17"/>
      <c r="G50" s="17"/>
      <c r="H50" s="17"/>
      <c r="I50" s="17"/>
      <c r="J50" s="43"/>
      <c r="K50" s="17"/>
      <c r="L50" s="17"/>
      <c r="M50" s="17"/>
      <c r="P50" s="17"/>
      <c r="Q50" s="17"/>
      <c r="R50" s="43"/>
      <c r="S50" s="17"/>
      <c r="T50" s="17"/>
      <c r="U50" s="17"/>
      <c r="V50" s="43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217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","414", " - ", "Starbucks UDP")</f>
        <v>Department 414 - Starbucks UDP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D12-D15</f>
        <v>0</v>
      </c>
      <c r="E17" s="13"/>
      <c r="F17" s="22">
        <f>IF(D$12=0,0,D17/D$12)</f>
        <v>0</v>
      </c>
      <c r="G17" s="13"/>
      <c r="H17" s="20">
        <f>H12-H15</f>
        <v>0</v>
      </c>
      <c r="I17" s="13"/>
      <c r="J17" s="22">
        <f>IF(H$12=0,0,H17/H$12)</f>
        <v>0</v>
      </c>
      <c r="K17" s="15"/>
      <c r="L17" s="20">
        <f>+D17-H17</f>
        <v>0</v>
      </c>
      <c r="M17" s="15"/>
      <c r="N17" s="22">
        <f>IF(H17=0,0,L17/H17)</f>
        <v>0</v>
      </c>
      <c r="O17" s="26"/>
      <c r="P17" s="20">
        <f>P12-P15</f>
        <v>0</v>
      </c>
      <c r="Q17" s="13"/>
      <c r="R17" s="22">
        <f>IF(P$12=0,0,P17/P$12)</f>
        <v>0</v>
      </c>
      <c r="S17" s="13"/>
      <c r="T17" s="20">
        <f>T12-T15</f>
        <v>974.91</v>
      </c>
      <c r="U17" s="13"/>
      <c r="V17" s="22">
        <f>IF(T$12=0,0,T17/T$12)</f>
        <v>1</v>
      </c>
      <c r="W17" s="15"/>
      <c r="X17" s="20">
        <f>+P17-T17</f>
        <v>-974.91</v>
      </c>
      <c r="Y17" s="15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0</v>
      </c>
      <c r="E19" s="21"/>
      <c r="F19" s="32">
        <f t="shared" ref="F19:F27" si="4">IF(D$12=0,0,D19/D$12)</f>
        <v>0</v>
      </c>
      <c r="G19" s="21"/>
      <c r="H19" s="21">
        <f>SUM(OSRRefH22x_0)</f>
        <v>1871.84</v>
      </c>
      <c r="I19" s="21"/>
      <c r="J19" s="32">
        <f t="shared" ref="J19:J27" si="5">IF(H$12=0,0,H19/H$12)</f>
        <v>0</v>
      </c>
      <c r="K19" s="4"/>
      <c r="L19" s="21">
        <f t="shared" ref="L19:L27" si="6">+D19-H19</f>
        <v>-1871.84</v>
      </c>
      <c r="M19" s="4"/>
      <c r="N19" s="32">
        <f t="shared" ref="N19:N27" si="7">IF(H19=0,0,L19/H19)</f>
        <v>-1</v>
      </c>
      <c r="O19" s="10"/>
      <c r="P19" s="21">
        <f>SUM(OSRRefP22x_0)</f>
        <v>0</v>
      </c>
      <c r="Q19" s="21"/>
      <c r="R19" s="32">
        <f t="shared" ref="R19:R27" si="8">IF(P$12=0,0,P19/P$12)</f>
        <v>0</v>
      </c>
      <c r="S19" s="21"/>
      <c r="T19" s="21">
        <f>SUM(OSRRefT22x_0)</f>
        <v>4546.3999999999996</v>
      </c>
      <c r="U19" s="21"/>
      <c r="V19" s="32">
        <f t="shared" ref="V19:V27" si="9">IF(T$12=0,0,T19/T$12)</f>
        <v>4.6634048271122461</v>
      </c>
      <c r="W19" s="4"/>
      <c r="X19" s="21">
        <f t="shared" ref="X19:X27" si="10">+P19-T19</f>
        <v>-4546.3999999999996</v>
      </c>
      <c r="Y19" s="4"/>
      <c r="Z19" s="32">
        <f t="shared" ref="Z19:Z27" si="11">IF(T19=0,0,X19/T19)</f>
        <v>-1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8">
        <f t="shared" si="4"/>
        <v>0</v>
      </c>
      <c r="G21" s="2"/>
      <c r="H21" s="7"/>
      <c r="I21" s="2"/>
      <c r="J21" s="8">
        <f t="shared" si="5"/>
        <v>0</v>
      </c>
      <c r="K21" s="2"/>
      <c r="L21" s="7">
        <f t="shared" si="6"/>
        <v>0</v>
      </c>
      <c r="M21" s="2"/>
      <c r="N21" s="8">
        <f t="shared" si="7"/>
        <v>0</v>
      </c>
      <c r="O21" s="11"/>
      <c r="P21" s="7"/>
      <c r="Q21" s="2"/>
      <c r="R21" s="8">
        <f t="shared" si="8"/>
        <v>0</v>
      </c>
      <c r="S21" s="2"/>
      <c r="T21" s="7">
        <v>702.51</v>
      </c>
      <c r="U21" s="2"/>
      <c r="V21" s="8">
        <f t="shared" si="9"/>
        <v>0.72058959288549718</v>
      </c>
      <c r="W21" s="2"/>
      <c r="X21" s="7">
        <f t="shared" si="10"/>
        <v>-702.51</v>
      </c>
      <c r="Y21" s="2"/>
      <c r="Z21" s="8">
        <f t="shared" si="11"/>
        <v>-1</v>
      </c>
    </row>
    <row r="22" spans="1:26" s="28" customFormat="1" outlineLevel="1" collapsed="1" x14ac:dyDescent="0.3">
      <c r="A22" s="29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3797.31</v>
      </c>
      <c r="U22" s="1"/>
      <c r="V22" s="5">
        <f t="shared" si="9"/>
        <v>3.8950364649044529</v>
      </c>
      <c r="W22" s="1"/>
      <c r="X22" s="1">
        <f t="shared" si="10"/>
        <v>-3797.31</v>
      </c>
      <c r="Y22" s="1"/>
      <c r="Z22" s="5">
        <f t="shared" si="11"/>
        <v>-1</v>
      </c>
    </row>
    <row r="23" spans="1:26" s="24" customFormat="1" hidden="1" outlineLevel="2" x14ac:dyDescent="0.3">
      <c r="A23" s="27"/>
      <c r="B23" s="11" t="str">
        <f>CONCATENATE("          ", "6322", " - ", "EQUIPMENT DEPRECIATION EXPENSE")</f>
        <v xml:space="preserve">          6322 - EQUIPMENT DEPRECIATION EXPENSE</v>
      </c>
      <c r="C23" s="11"/>
      <c r="D23" s="7"/>
      <c r="E23" s="2"/>
      <c r="F23" s="8">
        <f t="shared" si="4"/>
        <v>0</v>
      </c>
      <c r="G23" s="2"/>
      <c r="H23" s="7">
        <v>1825.26</v>
      </c>
      <c r="I23" s="2"/>
      <c r="J23" s="8">
        <f t="shared" si="5"/>
        <v>0</v>
      </c>
      <c r="K23" s="2"/>
      <c r="L23" s="7">
        <f t="shared" si="6"/>
        <v>-1825.26</v>
      </c>
      <c r="M23" s="2"/>
      <c r="N23" s="8">
        <f t="shared" si="7"/>
        <v>-1</v>
      </c>
      <c r="O23" s="11"/>
      <c r="P23" s="7"/>
      <c r="Q23" s="2"/>
      <c r="R23" s="8">
        <f t="shared" si="8"/>
        <v>0</v>
      </c>
      <c r="S23" s="2"/>
      <c r="T23" s="7">
        <v>3797.31</v>
      </c>
      <c r="U23" s="2"/>
      <c r="V23" s="8">
        <f t="shared" si="9"/>
        <v>3.8950364649044529</v>
      </c>
      <c r="W23" s="2"/>
      <c r="X23" s="7">
        <f t="shared" si="10"/>
        <v>-3797.31</v>
      </c>
      <c r="Y23" s="2"/>
      <c r="Z23" s="8">
        <f t="shared" si="11"/>
        <v>-1</v>
      </c>
    </row>
    <row r="24" spans="1:26" s="28" customFormat="1" outlineLevel="1" collapsed="1" x14ac:dyDescent="0.3">
      <c r="A24" s="29"/>
      <c r="B24" s="14" t="str">
        <f>CONCATENATE("     ","General                                           ")</f>
        <v xml:space="preserve">     General                                           </v>
      </c>
      <c r="C24" s="14"/>
      <c r="D24" s="1">
        <f>SUM(OSRRefD22_2x_0)</f>
        <v>0</v>
      </c>
      <c r="E24" s="1"/>
      <c r="F24" s="5">
        <f t="shared" si="4"/>
        <v>0</v>
      </c>
      <c r="G24" s="1"/>
      <c r="H24" s="1">
        <f>SUM(OSRRefH22_2x_0)</f>
        <v>7.28</v>
      </c>
      <c r="I24" s="1"/>
      <c r="J24" s="5">
        <f t="shared" si="5"/>
        <v>0</v>
      </c>
      <c r="K24" s="1"/>
      <c r="L24" s="1">
        <f t="shared" si="6"/>
        <v>-7.28</v>
      </c>
      <c r="M24" s="1"/>
      <c r="N24" s="5">
        <f t="shared" si="7"/>
        <v>-1</v>
      </c>
      <c r="O24" s="14"/>
      <c r="P24" s="1">
        <f>SUM(OSRRefP22_2x_0)</f>
        <v>0</v>
      </c>
      <c r="Q24" s="1"/>
      <c r="R24" s="5">
        <f t="shared" si="8"/>
        <v>0</v>
      </c>
      <c r="S24" s="1"/>
      <c r="T24" s="1">
        <f>SUM(OSRRefT22_2x_0)</f>
        <v>7.28</v>
      </c>
      <c r="U24" s="1"/>
      <c r="V24" s="5">
        <f t="shared" si="9"/>
        <v>7.467355961063073E-3</v>
      </c>
      <c r="W24" s="1"/>
      <c r="X24" s="1">
        <f t="shared" si="10"/>
        <v>-7.28</v>
      </c>
      <c r="Y24" s="1"/>
      <c r="Z24" s="5">
        <f t="shared" si="11"/>
        <v>-1</v>
      </c>
    </row>
    <row r="25" spans="1:26" s="24" customFormat="1" hidden="1" outlineLevel="2" x14ac:dyDescent="0.3">
      <c r="A25" s="27"/>
      <c r="B25" s="11" t="str">
        <f>CONCATENATE("          ", "6279", " - ", "GENERAL EXPENSE")</f>
        <v xml:space="preserve">          6279 - GENERAL EXPENSE</v>
      </c>
      <c r="C25" s="11"/>
      <c r="D25" s="7"/>
      <c r="E25" s="2"/>
      <c r="F25" s="8">
        <f t="shared" si="4"/>
        <v>0</v>
      </c>
      <c r="G25" s="2"/>
      <c r="H25" s="7">
        <v>7.28</v>
      </c>
      <c r="I25" s="2"/>
      <c r="J25" s="8">
        <f t="shared" si="5"/>
        <v>0</v>
      </c>
      <c r="K25" s="2"/>
      <c r="L25" s="7">
        <f t="shared" si="6"/>
        <v>-7.28</v>
      </c>
      <c r="M25" s="2"/>
      <c r="N25" s="8">
        <f t="shared" si="7"/>
        <v>-1</v>
      </c>
      <c r="O25" s="11"/>
      <c r="P25" s="7"/>
      <c r="Q25" s="2"/>
      <c r="R25" s="8">
        <f t="shared" si="8"/>
        <v>0</v>
      </c>
      <c r="S25" s="2"/>
      <c r="T25" s="7">
        <v>7.28</v>
      </c>
      <c r="U25" s="2"/>
      <c r="V25" s="8">
        <f t="shared" si="9"/>
        <v>7.467355961063073E-3</v>
      </c>
      <c r="W25" s="2"/>
      <c r="X25" s="7">
        <f t="shared" si="10"/>
        <v>-7.28</v>
      </c>
      <c r="Y25" s="2"/>
      <c r="Z25" s="8">
        <f t="shared" si="11"/>
        <v>-1</v>
      </c>
    </row>
    <row r="26" spans="1:26" s="28" customFormat="1" outlineLevel="1" collapsed="1" x14ac:dyDescent="0.3">
      <c r="A26" s="29"/>
      <c r="B26" s="14" t="str">
        <f>CONCATENATE("     ","Repair and Maintenance                            ")</f>
        <v xml:space="preserve">     Repair and Maintenance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39.299999999999997</v>
      </c>
      <c r="I26" s="1"/>
      <c r="J26" s="5">
        <f t="shared" si="5"/>
        <v>0</v>
      </c>
      <c r="K26" s="1"/>
      <c r="L26" s="1">
        <f t="shared" si="6"/>
        <v>-39.299999999999997</v>
      </c>
      <c r="M26" s="1"/>
      <c r="N26" s="5">
        <f t="shared" si="7"/>
        <v>-1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39.299999999999997</v>
      </c>
      <c r="U26" s="1"/>
      <c r="V26" s="5">
        <f t="shared" si="9"/>
        <v>4.0311413361233346E-2</v>
      </c>
      <c r="W26" s="1"/>
      <c r="X26" s="1">
        <f t="shared" si="10"/>
        <v>-39.299999999999997</v>
      </c>
      <c r="Y26" s="1"/>
      <c r="Z26" s="5">
        <f t="shared" si="11"/>
        <v>-1</v>
      </c>
    </row>
    <row r="27" spans="1:26" s="24" customFormat="1" hidden="1" outlineLevel="2" x14ac:dyDescent="0.3">
      <c r="A27" s="27"/>
      <c r="B27" s="11" t="str">
        <f>CONCATENATE("          ", "6373", " - ", "MAINTENANCE CONTRACTS")</f>
        <v xml:space="preserve">          6373 - MAINTENANCE CONTRACTS</v>
      </c>
      <c r="C27" s="11"/>
      <c r="D27" s="7"/>
      <c r="E27" s="2"/>
      <c r="F27" s="8">
        <f t="shared" si="4"/>
        <v>0</v>
      </c>
      <c r="G27" s="2"/>
      <c r="H27" s="7">
        <v>39.299999999999997</v>
      </c>
      <c r="I27" s="2"/>
      <c r="J27" s="8">
        <f t="shared" si="5"/>
        <v>0</v>
      </c>
      <c r="K27" s="2"/>
      <c r="L27" s="7">
        <f t="shared" si="6"/>
        <v>-39.299999999999997</v>
      </c>
      <c r="M27" s="2"/>
      <c r="N27" s="8">
        <f t="shared" si="7"/>
        <v>-1</v>
      </c>
      <c r="O27" s="11"/>
      <c r="P27" s="7"/>
      <c r="Q27" s="2"/>
      <c r="R27" s="8">
        <f t="shared" si="8"/>
        <v>0</v>
      </c>
      <c r="S27" s="2"/>
      <c r="T27" s="7">
        <v>39.299999999999997</v>
      </c>
      <c r="U27" s="2"/>
      <c r="V27" s="8">
        <f t="shared" si="9"/>
        <v>4.0311413361233346E-2</v>
      </c>
      <c r="W27" s="2"/>
      <c r="X27" s="7">
        <f t="shared" si="10"/>
        <v>-39.299999999999997</v>
      </c>
      <c r="Y27" s="2"/>
      <c r="Z27" s="8">
        <f t="shared" si="11"/>
        <v>-1</v>
      </c>
    </row>
    <row r="28" spans="1:26" s="61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6" t="s">
        <v>292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x14ac:dyDescent="0.3">
      <c r="A31" s="10"/>
      <c r="B31" s="25" t="s">
        <v>276</v>
      </c>
      <c r="C31" s="25"/>
      <c r="D31" s="20">
        <f>+D17-D19+D29</f>
        <v>0</v>
      </c>
      <c r="E31" s="13"/>
      <c r="F31" s="22">
        <f>IF(D$12=0,0,D31/D$12)</f>
        <v>0</v>
      </c>
      <c r="G31" s="13"/>
      <c r="H31" s="20">
        <f>+H17-H19+H29</f>
        <v>-1871.84</v>
      </c>
      <c r="I31" s="13"/>
      <c r="J31" s="22">
        <f>IF(H$12=0,0,H31/H$12)</f>
        <v>0</v>
      </c>
      <c r="K31" s="15"/>
      <c r="L31" s="20">
        <f>+D31-H31</f>
        <v>1871.84</v>
      </c>
      <c r="M31" s="15"/>
      <c r="N31" s="22">
        <f>IF(H31=0,0,L31/H31)</f>
        <v>-1</v>
      </c>
      <c r="O31" s="26"/>
      <c r="P31" s="20">
        <f>+P17-P19+P29</f>
        <v>0</v>
      </c>
      <c r="Q31" s="13"/>
      <c r="R31" s="22">
        <f>IF(P$12=0,0,P31/P$12)</f>
        <v>0</v>
      </c>
      <c r="S31" s="13"/>
      <c r="T31" s="20">
        <f>+T17-T19+T29</f>
        <v>-3571.49</v>
      </c>
      <c r="U31" s="13"/>
      <c r="V31" s="22">
        <f>IF(T$12=0,0,T31/T$12)</f>
        <v>-3.6634048271122461</v>
      </c>
      <c r="W31" s="15"/>
      <c r="X31" s="20">
        <f>+P31-T31</f>
        <v>3571.49</v>
      </c>
      <c r="Y31" s="15"/>
      <c r="Z31" s="22">
        <f>IF(T31=0,0,X31/T31)</f>
        <v>-1</v>
      </c>
    </row>
    <row r="32" spans="1:26" x14ac:dyDescent="0.3">
      <c r="A32" s="9"/>
      <c r="B32" s="10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127</v>
      </c>
      <c r="C33" s="10"/>
      <c r="D33" s="4"/>
      <c r="E33" s="4"/>
      <c r="F33" s="12">
        <f>IF(D$12=0,0,D33/D$12)</f>
        <v>0</v>
      </c>
      <c r="G33" s="4"/>
      <c r="H33" s="4">
        <v>-304.27999999999997</v>
      </c>
      <c r="I33" s="4"/>
      <c r="J33" s="12">
        <f>IF(H$12=0,0,H33/H$12)</f>
        <v>0</v>
      </c>
      <c r="K33" s="4"/>
      <c r="L33" s="4">
        <f>+D33-H33</f>
        <v>304.27999999999997</v>
      </c>
      <c r="M33" s="4"/>
      <c r="N33" s="12">
        <f>IF(H33=0,0,L33/H33)</f>
        <v>-1</v>
      </c>
      <c r="O33" s="10"/>
      <c r="P33" s="4"/>
      <c r="Q33" s="4"/>
      <c r="R33" s="12">
        <f>IF(P$12=0,0,P33/P$12)</f>
        <v>0</v>
      </c>
      <c r="S33" s="4"/>
      <c r="T33" s="4">
        <v>164.6</v>
      </c>
      <c r="U33" s="4"/>
      <c r="V33" s="12">
        <f>IF(T$12=0,0,T33/T$12)</f>
        <v>0.16883609769106891</v>
      </c>
      <c r="W33" s="4"/>
      <c r="X33" s="4">
        <f>+P33-T33</f>
        <v>-164.6</v>
      </c>
      <c r="Y33" s="4"/>
      <c r="Z33" s="12">
        <f>IF(T33=0,0,X33/T33)</f>
        <v>-1</v>
      </c>
    </row>
    <row r="34" spans="1:26" x14ac:dyDescent="0.3">
      <c r="A34" s="9"/>
      <c r="B34" s="10"/>
      <c r="C34" s="10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O34" s="10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s="23" customFormat="1" ht="15" thickBot="1" x14ac:dyDescent="0.35">
      <c r="A35" s="10"/>
      <c r="B35" s="25" t="s">
        <v>125</v>
      </c>
      <c r="C35" s="25"/>
      <c r="D35" s="33">
        <f>+D31-D33</f>
        <v>0</v>
      </c>
      <c r="E35" s="13"/>
      <c r="F35" s="36">
        <f>IF(D$12=0,0,D35/D$12)</f>
        <v>0</v>
      </c>
      <c r="G35" s="13"/>
      <c r="H35" s="33">
        <f>+H31-H33</f>
        <v>-1567.56</v>
      </c>
      <c r="I35" s="13"/>
      <c r="J35" s="36">
        <f>IF(H$12=0,0,H35/H$12)</f>
        <v>0</v>
      </c>
      <c r="K35" s="15"/>
      <c r="L35" s="33">
        <f>D35-H35</f>
        <v>1567.56</v>
      </c>
      <c r="M35" s="15"/>
      <c r="N35" s="36">
        <f>IF(H35=0,0,L35/H35)</f>
        <v>-1</v>
      </c>
      <c r="O35" s="26"/>
      <c r="P35" s="33">
        <f>+P31-P33</f>
        <v>0</v>
      </c>
      <c r="Q35" s="13"/>
      <c r="R35" s="36">
        <f>IF(P$12=0,0,P35/P$12)</f>
        <v>0</v>
      </c>
      <c r="S35" s="13"/>
      <c r="T35" s="33">
        <f>+T31-T33</f>
        <v>-3736.0899999999997</v>
      </c>
      <c r="U35" s="13"/>
      <c r="V35" s="36">
        <f>IF(T$12=0,0,T35/T$12)</f>
        <v>-3.8322409248033149</v>
      </c>
      <c r="W35" s="15"/>
      <c r="X35" s="33">
        <f>P35-T35</f>
        <v>3736.0899999999997</v>
      </c>
      <c r="Y35" s="15"/>
      <c r="Z35" s="36">
        <f>IF(T35=0,0,X35/T35)</f>
        <v>-1</v>
      </c>
    </row>
    <row r="36" spans="1:26" ht="15" thickTop="1" x14ac:dyDescent="0.3">
      <c r="A36" s="9"/>
      <c r="B36" s="9"/>
      <c r="C36" s="9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s="23" customFormat="1" ht="15" thickBot="1" x14ac:dyDescent="0.35">
      <c r="A38" s="10"/>
      <c r="B38" s="25" t="s">
        <v>293</v>
      </c>
      <c r="C38" s="25"/>
      <c r="D38" s="30">
        <f>SUM(D35:D37)</f>
        <v>0</v>
      </c>
      <c r="E38" s="13"/>
      <c r="F38" s="31">
        <f>IF(D$12=0,0,D38/D$12)</f>
        <v>0</v>
      </c>
      <c r="G38" s="13"/>
      <c r="H38" s="30">
        <f>SUM(H35:H37)</f>
        <v>-1567.56</v>
      </c>
      <c r="I38" s="13"/>
      <c r="J38" s="31">
        <f>IF(H$12=0,0,H38/H$12)</f>
        <v>0</v>
      </c>
      <c r="K38" s="15"/>
      <c r="L38" s="30">
        <f>+D38-H38</f>
        <v>1567.56</v>
      </c>
      <c r="M38" s="15"/>
      <c r="N38" s="31">
        <f>IF(H38=0,0,L38/H38)</f>
        <v>-1</v>
      </c>
      <c r="O38" s="26"/>
      <c r="P38" s="30">
        <f>SUM(P35:P37)</f>
        <v>0</v>
      </c>
      <c r="Q38" s="13"/>
      <c r="R38" s="31">
        <f>IF(P$12=0,0,P38/P$12)</f>
        <v>0</v>
      </c>
      <c r="S38" s="13"/>
      <c r="T38" s="30">
        <f>SUM(T35:T37)</f>
        <v>-3736.0899999999997</v>
      </c>
      <c r="U38" s="13"/>
      <c r="V38" s="31">
        <f>IF(T$12=0,0,T38/T$12)</f>
        <v>-3.8322409248033149</v>
      </c>
      <c r="W38" s="15"/>
      <c r="X38" s="30">
        <f>+P38-T38</f>
        <v>3736.0899999999997</v>
      </c>
      <c r="Y38" s="15"/>
      <c r="Z38" s="31">
        <f>IF(T38=0,0,X38/T38)</f>
        <v>-1</v>
      </c>
    </row>
    <row r="39" spans="1:26" ht="15" thickTop="1" x14ac:dyDescent="0.3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>
        <v>44470.840542939812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8" t="s">
        <v>56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2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","415", " - ", "Outpost")</f>
        <v>Department 415 - Outpost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36916.019999999997</v>
      </c>
      <c r="E12" s="4"/>
      <c r="F12" s="12"/>
      <c r="G12" s="4"/>
      <c r="H12" s="4">
        <f>SUM(OSRRefH13x_0)</f>
        <v>4718.9399999999996</v>
      </c>
      <c r="I12" s="4"/>
      <c r="J12" s="12"/>
      <c r="K12" s="4"/>
      <c r="L12" s="4">
        <f t="shared" ref="L12:L14" si="0">+D12-H12</f>
        <v>32197.079999999998</v>
      </c>
      <c r="M12" s="4"/>
      <c r="N12" s="12">
        <f t="shared" ref="N12:N14" si="1">IF(H12=0,0,L12/H12)</f>
        <v>6.8229475263512569</v>
      </c>
      <c r="O12" s="10"/>
      <c r="P12" s="4">
        <f>SUM(OSRRefP13x_0)</f>
        <v>56618.33</v>
      </c>
      <c r="Q12" s="4"/>
      <c r="R12" s="12"/>
      <c r="S12" s="4"/>
      <c r="T12" s="4">
        <f>SUM(OSRRefT13x_0)</f>
        <v>4718.9399999999996</v>
      </c>
      <c r="U12" s="4"/>
      <c r="V12" s="12"/>
      <c r="W12" s="4"/>
      <c r="X12" s="4">
        <f t="shared" ref="X12:X14" si="2">+P12-T12</f>
        <v>51899.39</v>
      </c>
      <c r="Y12" s="4"/>
      <c r="Z12" s="12">
        <f t="shared" ref="Z12:Z14" si="3">IF(T12=0,0,X12/T12)</f>
        <v>10.998103387625187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--18369.85</f>
        <v>18369.849999999999</v>
      </c>
      <c r="E13" s="2"/>
      <c r="F13" s="19"/>
      <c r="G13" s="2"/>
      <c r="H13" s="2">
        <f>--2510.72</f>
        <v>2510.7199999999998</v>
      </c>
      <c r="I13" s="2"/>
      <c r="J13" s="19"/>
      <c r="K13" s="2"/>
      <c r="L13" s="2">
        <f t="shared" si="0"/>
        <v>15859.13</v>
      </c>
      <c r="M13" s="2"/>
      <c r="N13" s="19">
        <f t="shared" si="1"/>
        <v>6.3165665625796583</v>
      </c>
      <c r="O13" s="11"/>
      <c r="P13" s="2">
        <f>--29000.78</f>
        <v>29000.78</v>
      </c>
      <c r="Q13" s="2"/>
      <c r="R13" s="19"/>
      <c r="S13" s="2"/>
      <c r="T13" s="2">
        <f>--2510.72</f>
        <v>2510.7199999999998</v>
      </c>
      <c r="U13" s="2"/>
      <c r="V13" s="19"/>
      <c r="W13" s="2"/>
      <c r="X13" s="2">
        <f t="shared" si="2"/>
        <v>26490.059999999998</v>
      </c>
      <c r="Y13" s="2"/>
      <c r="Z13" s="19">
        <f t="shared" si="3"/>
        <v>10.550782245730309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--18546.17</f>
        <v>18546.169999999998</v>
      </c>
      <c r="E14" s="2"/>
      <c r="F14" s="19"/>
      <c r="G14" s="2"/>
      <c r="H14" s="2">
        <f>--2208.22</f>
        <v>2208.2199999999998</v>
      </c>
      <c r="I14" s="2"/>
      <c r="J14" s="19"/>
      <c r="K14" s="2"/>
      <c r="L14" s="2">
        <f t="shared" si="0"/>
        <v>16337.949999999999</v>
      </c>
      <c r="M14" s="2"/>
      <c r="N14" s="19">
        <f t="shared" si="1"/>
        <v>7.3986966878300171</v>
      </c>
      <c r="O14" s="11"/>
      <c r="P14" s="2">
        <f>--27617.55</f>
        <v>27617.55</v>
      </c>
      <c r="Q14" s="2"/>
      <c r="R14" s="19"/>
      <c r="S14" s="2"/>
      <c r="T14" s="2">
        <f>--2208.22</f>
        <v>2208.2199999999998</v>
      </c>
      <c r="U14" s="2"/>
      <c r="V14" s="19"/>
      <c r="W14" s="2"/>
      <c r="X14" s="2">
        <f t="shared" si="2"/>
        <v>25409.329999999998</v>
      </c>
      <c r="Y14" s="2"/>
      <c r="Z14" s="19">
        <f t="shared" si="3"/>
        <v>11.506702230755995</v>
      </c>
    </row>
    <row r="15" spans="1:26" x14ac:dyDescent="0.3">
      <c r="A15" s="9"/>
      <c r="B15" s="10"/>
      <c r="C15" s="9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9009.66</v>
      </c>
      <c r="E16" s="4"/>
      <c r="F16" s="12">
        <f t="shared" ref="F16:F18" si="4">IF(D$12=0,0,D16/D$12)</f>
        <v>0.24405827063697552</v>
      </c>
      <c r="G16" s="4"/>
      <c r="H16" s="4">
        <f>SUM(OSRRefH16x_0)</f>
        <v>4245.9399999999996</v>
      </c>
      <c r="I16" s="4"/>
      <c r="J16" s="12">
        <f t="shared" ref="J16:J18" si="5">IF(H$12=0,0,H16/H$12)</f>
        <v>0.89976562533111248</v>
      </c>
      <c r="K16" s="4"/>
      <c r="L16" s="4">
        <f t="shared" ref="L16:L18" si="6">+D16-H16</f>
        <v>4763.72</v>
      </c>
      <c r="M16" s="4"/>
      <c r="N16" s="12">
        <f t="shared" ref="N16:N18" si="7">IF(H16=0,0,L16/H16)</f>
        <v>1.1219470835668899</v>
      </c>
      <c r="O16" s="10"/>
      <c r="P16" s="4">
        <f>SUM(OSRRefP16x_0)</f>
        <v>15103.77</v>
      </c>
      <c r="Q16" s="4"/>
      <c r="R16" s="12">
        <f t="shared" ref="R16:R18" si="8">IF(P$12=0,0,P16/P$12)</f>
        <v>0.266764667908785</v>
      </c>
      <c r="S16" s="4"/>
      <c r="T16" s="4">
        <f>SUM(OSRRefT16x_0)</f>
        <v>4245.9399999999996</v>
      </c>
      <c r="U16" s="4"/>
      <c r="V16" s="12">
        <f t="shared" ref="V16:V18" si="9">IF(T$12=0,0,T16/T$12)</f>
        <v>0.89976562533111248</v>
      </c>
      <c r="W16" s="4"/>
      <c r="X16" s="4">
        <f t="shared" ref="X16:X18" si="10">+P16-T16</f>
        <v>10857.830000000002</v>
      </c>
      <c r="Y16" s="4"/>
      <c r="Z16" s="12">
        <f t="shared" ref="Z16:Z18" si="11">IF(T16=0,0,X16/T16)</f>
        <v>2.5572264327804923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18296.66</v>
      </c>
      <c r="E17" s="2"/>
      <c r="F17" s="19">
        <f t="shared" si="4"/>
        <v>0.49562926881066816</v>
      </c>
      <c r="G17" s="2"/>
      <c r="H17" s="2">
        <v>4200.9399999999996</v>
      </c>
      <c r="I17" s="2"/>
      <c r="J17" s="19">
        <f t="shared" si="5"/>
        <v>0.8902295854577511</v>
      </c>
      <c r="K17" s="2"/>
      <c r="L17" s="2">
        <f t="shared" si="6"/>
        <v>14095.720000000001</v>
      </c>
      <c r="M17" s="2"/>
      <c r="N17" s="19">
        <f t="shared" si="7"/>
        <v>3.3553728451251392</v>
      </c>
      <c r="O17" s="11"/>
      <c r="P17" s="2">
        <v>27555.77</v>
      </c>
      <c r="Q17" s="2"/>
      <c r="R17" s="19">
        <f t="shared" si="8"/>
        <v>0.48669344362505923</v>
      </c>
      <c r="S17" s="2"/>
      <c r="T17" s="2">
        <v>4200.9399999999996</v>
      </c>
      <c r="U17" s="2"/>
      <c r="V17" s="19">
        <f t="shared" si="9"/>
        <v>0.8902295854577511</v>
      </c>
      <c r="W17" s="2"/>
      <c r="X17" s="2">
        <f t="shared" si="10"/>
        <v>23354.83</v>
      </c>
      <c r="Y17" s="2"/>
      <c r="Z17" s="19">
        <f t="shared" si="11"/>
        <v>5.5594295562421756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-9287</v>
      </c>
      <c r="E18" s="2"/>
      <c r="F18" s="19">
        <f t="shared" si="4"/>
        <v>-0.25157099817369266</v>
      </c>
      <c r="G18" s="2"/>
      <c r="H18" s="2">
        <v>45</v>
      </c>
      <c r="I18" s="2"/>
      <c r="J18" s="19">
        <f t="shared" si="5"/>
        <v>9.5360398733613915E-3</v>
      </c>
      <c r="K18" s="2"/>
      <c r="L18" s="2">
        <f t="shared" si="6"/>
        <v>-9332</v>
      </c>
      <c r="M18" s="2"/>
      <c r="N18" s="19">
        <f t="shared" si="7"/>
        <v>-207.37777777777777</v>
      </c>
      <c r="O18" s="11"/>
      <c r="P18" s="2">
        <v>-12452</v>
      </c>
      <c r="Q18" s="2"/>
      <c r="R18" s="19">
        <f t="shared" si="8"/>
        <v>-0.2199287757162742</v>
      </c>
      <c r="S18" s="2"/>
      <c r="T18" s="2">
        <v>45</v>
      </c>
      <c r="U18" s="2"/>
      <c r="V18" s="19">
        <f t="shared" si="9"/>
        <v>9.5360398733613915E-3</v>
      </c>
      <c r="W18" s="2"/>
      <c r="X18" s="2">
        <f t="shared" si="10"/>
        <v>-12497</v>
      </c>
      <c r="Y18" s="2"/>
      <c r="Z18" s="19">
        <f t="shared" si="11"/>
        <v>-277.71111111111111</v>
      </c>
    </row>
    <row r="19" spans="1:26" x14ac:dyDescent="0.3">
      <c r="A19" s="9"/>
      <c r="B19" s="10"/>
      <c r="C19" s="10"/>
      <c r="D19" s="3"/>
      <c r="E19" s="3"/>
      <c r="F19" s="6"/>
      <c r="G19" s="3"/>
      <c r="H19" s="3"/>
      <c r="I19" s="3"/>
      <c r="J19" s="6"/>
      <c r="K19" s="3"/>
      <c r="L19" s="3"/>
      <c r="M19" s="3"/>
      <c r="N19" s="6"/>
      <c r="O19" s="10"/>
      <c r="P19" s="3"/>
      <c r="Q19" s="3"/>
      <c r="R19" s="6"/>
      <c r="S19" s="3"/>
      <c r="T19" s="3"/>
      <c r="U19" s="3"/>
      <c r="V19" s="6"/>
      <c r="W19" s="3"/>
      <c r="X19" s="3"/>
      <c r="Y19" s="3"/>
      <c r="Z19" s="6"/>
    </row>
    <row r="20" spans="1:26" s="23" customFormat="1" x14ac:dyDescent="0.3">
      <c r="A20" s="10"/>
      <c r="B20" s="25" t="s">
        <v>107</v>
      </c>
      <c r="C20" s="25"/>
      <c r="D20" s="20">
        <f>D12-D16</f>
        <v>27906.359999999997</v>
      </c>
      <c r="E20" s="13"/>
      <c r="F20" s="22">
        <f>IF(D$12=0,0,D20/D$12)</f>
        <v>0.75594172936302451</v>
      </c>
      <c r="G20" s="13"/>
      <c r="H20" s="20">
        <f>H12-H16</f>
        <v>473</v>
      </c>
      <c r="I20" s="13"/>
      <c r="J20" s="22">
        <f>IF(H$12=0,0,H20/H$12)</f>
        <v>0.10023437466888752</v>
      </c>
      <c r="K20" s="15"/>
      <c r="L20" s="20">
        <f>+D20-H20</f>
        <v>27433.359999999997</v>
      </c>
      <c r="M20" s="15"/>
      <c r="N20" s="22">
        <f>IF(H20=0,0,L20/H20)</f>
        <v>57.998646934460879</v>
      </c>
      <c r="O20" s="26"/>
      <c r="P20" s="20">
        <f>P12-P16</f>
        <v>41514.559999999998</v>
      </c>
      <c r="Q20" s="13"/>
      <c r="R20" s="22">
        <f>IF(P$12=0,0,P20/P$12)</f>
        <v>0.73323533209121494</v>
      </c>
      <c r="S20" s="13"/>
      <c r="T20" s="20">
        <f>T12-T16</f>
        <v>473</v>
      </c>
      <c r="U20" s="13"/>
      <c r="V20" s="22">
        <f>IF(T$12=0,0,T20/T$12)</f>
        <v>0.10023437466888752</v>
      </c>
      <c r="W20" s="15"/>
      <c r="X20" s="20">
        <f>+P20-T20</f>
        <v>41041.56</v>
      </c>
      <c r="Y20" s="15"/>
      <c r="Z20" s="22">
        <f>IF(T20=0,0,X20/T20)</f>
        <v>86.768625792811832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1">
        <f>SUM(OSRRefD22x_0)</f>
        <v>79206.290000000023</v>
      </c>
      <c r="E22" s="21"/>
      <c r="F22" s="32">
        <f t="shared" ref="F22:F31" si="12">IF(D$12=0,0,D22/D$12)</f>
        <v>2.1455804282260122</v>
      </c>
      <c r="G22" s="21"/>
      <c r="H22" s="21">
        <f>SUM(OSRRefH22x_0)</f>
        <v>67781.87</v>
      </c>
      <c r="I22" s="21"/>
      <c r="J22" s="32">
        <f t="shared" ref="J22:J31" si="13">IF(H$12=0,0,H22/H$12)</f>
        <v>14.36379144468885</v>
      </c>
      <c r="K22" s="4"/>
      <c r="L22" s="21">
        <f t="shared" ref="L22:L31" si="14">+D22-H22</f>
        <v>11424.420000000027</v>
      </c>
      <c r="M22" s="4"/>
      <c r="N22" s="32">
        <f t="shared" ref="N22:N31" si="15">IF(H22=0,0,L22/H22)</f>
        <v>0.16854684003259321</v>
      </c>
      <c r="O22" s="10"/>
      <c r="P22" s="21">
        <f>SUM(OSRRefP22x_0)</f>
        <v>139227.43000000002</v>
      </c>
      <c r="Q22" s="21"/>
      <c r="R22" s="32">
        <f t="shared" ref="R22:R31" si="16">IF(P$12=0,0,P22/P$12)</f>
        <v>2.4590522186012906</v>
      </c>
      <c r="S22" s="21"/>
      <c r="T22" s="21">
        <f>SUM(OSRRefT22x_0)</f>
        <v>124438.71</v>
      </c>
      <c r="U22" s="21"/>
      <c r="V22" s="32">
        <f t="shared" ref="V22:V31" si="17">IF(T$12=0,0,T22/T$12)</f>
        <v>26.370055563325664</v>
      </c>
      <c r="W22" s="4"/>
      <c r="X22" s="21">
        <f t="shared" ref="X22:X31" si="18">+P22-T22</f>
        <v>14788.720000000016</v>
      </c>
      <c r="Y22" s="4"/>
      <c r="Z22" s="32">
        <f t="shared" ref="Z22:Z31" si="19">IF(T22=0,0,X22/T22)</f>
        <v>0.11884340491797138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10432.23</v>
      </c>
      <c r="E23" s="1"/>
      <c r="F23" s="5">
        <f t="shared" si="12"/>
        <v>0.28259357319667722</v>
      </c>
      <c r="G23" s="1"/>
      <c r="H23" s="1">
        <f>SUM(OSRRefH22_0x_0)</f>
        <v>15637.029999999999</v>
      </c>
      <c r="I23" s="1"/>
      <c r="J23" s="5">
        <f t="shared" si="13"/>
        <v>3.313674257354406</v>
      </c>
      <c r="K23" s="1"/>
      <c r="L23" s="1">
        <f t="shared" si="14"/>
        <v>-5204.7999999999993</v>
      </c>
      <c r="M23" s="1"/>
      <c r="N23" s="5">
        <f t="shared" si="15"/>
        <v>-0.33285093141088812</v>
      </c>
      <c r="O23" s="14"/>
      <c r="P23" s="1">
        <f>SUM(OSRRefP22_0x_0)</f>
        <v>20530.060000000001</v>
      </c>
      <c r="Q23" s="1"/>
      <c r="R23" s="5">
        <f t="shared" si="16"/>
        <v>0.36260447809039936</v>
      </c>
      <c r="S23" s="1"/>
      <c r="T23" s="1">
        <f>SUM(OSRRefT22_0x_0)</f>
        <v>23392.93</v>
      </c>
      <c r="U23" s="1"/>
      <c r="V23" s="5">
        <f t="shared" si="17"/>
        <v>4.9572425163278195</v>
      </c>
      <c r="W23" s="1"/>
      <c r="X23" s="1">
        <f t="shared" si="18"/>
        <v>-2862.869999999999</v>
      </c>
      <c r="Y23" s="1"/>
      <c r="Z23" s="5">
        <f t="shared" si="19"/>
        <v>-0.12238184784890131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1344.16</v>
      </c>
      <c r="E24" s="2"/>
      <c r="F24" s="8">
        <f t="shared" si="12"/>
        <v>3.641129244160124E-2</v>
      </c>
      <c r="G24" s="2"/>
      <c r="H24" s="7">
        <v>1592.61</v>
      </c>
      <c r="I24" s="2"/>
      <c r="J24" s="8">
        <f t="shared" si="13"/>
        <v>0.33749316583809075</v>
      </c>
      <c r="K24" s="2"/>
      <c r="L24" s="7">
        <f t="shared" si="14"/>
        <v>-248.44999999999982</v>
      </c>
      <c r="M24" s="2"/>
      <c r="N24" s="8">
        <f t="shared" si="15"/>
        <v>-0.15600178323632266</v>
      </c>
      <c r="O24" s="11"/>
      <c r="P24" s="7">
        <v>2465.5100000000002</v>
      </c>
      <c r="Q24" s="2"/>
      <c r="R24" s="8">
        <f t="shared" si="16"/>
        <v>4.3546144861566917E-2</v>
      </c>
      <c r="S24" s="2"/>
      <c r="T24" s="7">
        <v>2603.89</v>
      </c>
      <c r="U24" s="2"/>
      <c r="V24" s="8">
        <f t="shared" si="17"/>
        <v>0.55179553035215534</v>
      </c>
      <c r="W24" s="2"/>
      <c r="X24" s="7">
        <f t="shared" si="18"/>
        <v>-138.37999999999965</v>
      </c>
      <c r="Y24" s="2"/>
      <c r="Z24" s="8">
        <f t="shared" si="19"/>
        <v>-5.3143565972448785E-2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632.17999999999995</v>
      </c>
      <c r="E25" s="2"/>
      <c r="F25" s="8">
        <f t="shared" si="12"/>
        <v>1.7124814646866049E-2</v>
      </c>
      <c r="G25" s="2"/>
      <c r="H25" s="7">
        <v>577.34</v>
      </c>
      <c r="I25" s="2"/>
      <c r="J25" s="8">
        <f t="shared" si="13"/>
        <v>0.1223452724552548</v>
      </c>
      <c r="K25" s="2"/>
      <c r="L25" s="7">
        <f t="shared" si="14"/>
        <v>54.839999999999918</v>
      </c>
      <c r="M25" s="2"/>
      <c r="N25" s="8">
        <f t="shared" si="15"/>
        <v>9.4987355804205351E-2</v>
      </c>
      <c r="O25" s="11"/>
      <c r="P25" s="7">
        <v>1159.8</v>
      </c>
      <c r="Q25" s="2"/>
      <c r="R25" s="8">
        <f t="shared" si="16"/>
        <v>2.0484532129435819E-2</v>
      </c>
      <c r="S25" s="2"/>
      <c r="T25" s="7">
        <v>1020.48</v>
      </c>
      <c r="U25" s="2"/>
      <c r="V25" s="8">
        <f t="shared" si="17"/>
        <v>0.21625195488817406</v>
      </c>
      <c r="W25" s="2"/>
      <c r="X25" s="7">
        <f t="shared" si="18"/>
        <v>139.31999999999994</v>
      </c>
      <c r="Y25" s="2"/>
      <c r="Z25" s="8">
        <f t="shared" si="19"/>
        <v>0.13652398871119467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5217.82</v>
      </c>
      <c r="E26" s="2"/>
      <c r="F26" s="8">
        <f t="shared" si="12"/>
        <v>0.14134297250895411</v>
      </c>
      <c r="G26" s="2"/>
      <c r="H26" s="7">
        <v>8711.43</v>
      </c>
      <c r="I26" s="2"/>
      <c r="J26" s="8">
        <f t="shared" si="13"/>
        <v>1.8460565296443696</v>
      </c>
      <c r="K26" s="2"/>
      <c r="L26" s="7">
        <f t="shared" si="14"/>
        <v>-3493.6100000000006</v>
      </c>
      <c r="M26" s="2"/>
      <c r="N26" s="8">
        <f t="shared" si="15"/>
        <v>-0.40103748753074986</v>
      </c>
      <c r="O26" s="11"/>
      <c r="P26" s="7">
        <v>10435.64</v>
      </c>
      <c r="Q26" s="2"/>
      <c r="R26" s="8">
        <f t="shared" si="16"/>
        <v>0.18431557412590585</v>
      </c>
      <c r="S26" s="2"/>
      <c r="T26" s="7">
        <v>12083.24</v>
      </c>
      <c r="U26" s="2"/>
      <c r="V26" s="8">
        <f t="shared" si="17"/>
        <v>2.560583520875451</v>
      </c>
      <c r="W26" s="2"/>
      <c r="X26" s="7">
        <f t="shared" si="18"/>
        <v>-1647.6000000000004</v>
      </c>
      <c r="Y26" s="2"/>
      <c r="Z26" s="8">
        <f t="shared" si="19"/>
        <v>-0.13635415666658945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45.66</v>
      </c>
      <c r="E27" s="2"/>
      <c r="F27" s="8">
        <f t="shared" si="12"/>
        <v>1.2368613951341449E-3</v>
      </c>
      <c r="G27" s="2"/>
      <c r="H27" s="7">
        <v>55.9</v>
      </c>
      <c r="I27" s="2"/>
      <c r="J27" s="8">
        <f t="shared" si="13"/>
        <v>1.1845880642686706E-2</v>
      </c>
      <c r="K27" s="2"/>
      <c r="L27" s="7">
        <f t="shared" si="14"/>
        <v>-10.240000000000002</v>
      </c>
      <c r="M27" s="2"/>
      <c r="N27" s="8">
        <f t="shared" si="15"/>
        <v>-0.1831842576028623</v>
      </c>
      <c r="O27" s="11"/>
      <c r="P27" s="7">
        <v>83.77</v>
      </c>
      <c r="Q27" s="2"/>
      <c r="R27" s="8">
        <f t="shared" si="16"/>
        <v>1.4795561790678035E-3</v>
      </c>
      <c r="S27" s="2"/>
      <c r="T27" s="7">
        <v>103.66</v>
      </c>
      <c r="U27" s="2"/>
      <c r="V27" s="8">
        <f t="shared" si="17"/>
        <v>2.1966797628280927E-2</v>
      </c>
      <c r="W27" s="2"/>
      <c r="X27" s="7">
        <f t="shared" si="18"/>
        <v>-19.89</v>
      </c>
      <c r="Y27" s="2"/>
      <c r="Z27" s="8">
        <f t="shared" si="19"/>
        <v>-0.19187729114412502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870.61</v>
      </c>
      <c r="E28" s="2"/>
      <c r="F28" s="8">
        <f t="shared" si="12"/>
        <v>2.3583528235167281E-2</v>
      </c>
      <c r="G28" s="2"/>
      <c r="H28" s="7">
        <v>1527.3</v>
      </c>
      <c r="I28" s="2"/>
      <c r="J28" s="8">
        <f t="shared" si="13"/>
        <v>0.32365319330188563</v>
      </c>
      <c r="K28" s="2"/>
      <c r="L28" s="7">
        <f t="shared" si="14"/>
        <v>-656.68999999999994</v>
      </c>
      <c r="M28" s="2"/>
      <c r="N28" s="8">
        <f t="shared" si="15"/>
        <v>-0.42996791723957306</v>
      </c>
      <c r="O28" s="11"/>
      <c r="P28" s="7">
        <v>1741.22</v>
      </c>
      <c r="Q28" s="2"/>
      <c r="R28" s="8">
        <f t="shared" si="16"/>
        <v>3.0753644623569786E-2</v>
      </c>
      <c r="S28" s="2"/>
      <c r="T28" s="7">
        <v>2612.5500000000002</v>
      </c>
      <c r="U28" s="2"/>
      <c r="V28" s="8">
        <f t="shared" si="17"/>
        <v>0.5536306882477845</v>
      </c>
      <c r="W28" s="2"/>
      <c r="X28" s="7">
        <f t="shared" si="18"/>
        <v>-871.33000000000015</v>
      </c>
      <c r="Y28" s="2"/>
      <c r="Z28" s="8">
        <f t="shared" si="19"/>
        <v>-0.33351706187441393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7">
        <v>958.14</v>
      </c>
      <c r="E29" s="2"/>
      <c r="F29" s="8">
        <f t="shared" si="12"/>
        <v>2.59545855701671E-2</v>
      </c>
      <c r="G29" s="2"/>
      <c r="H29" s="7">
        <v>1539.3</v>
      </c>
      <c r="I29" s="2"/>
      <c r="J29" s="8">
        <f t="shared" si="13"/>
        <v>0.3261961372681153</v>
      </c>
      <c r="K29" s="2"/>
      <c r="L29" s="7">
        <f t="shared" si="14"/>
        <v>-581.16</v>
      </c>
      <c r="M29" s="2"/>
      <c r="N29" s="8">
        <f t="shared" si="15"/>
        <v>-0.37754823621126488</v>
      </c>
      <c r="O29" s="11"/>
      <c r="P29" s="7">
        <v>1909.2</v>
      </c>
      <c r="Q29" s="2"/>
      <c r="R29" s="8">
        <f t="shared" si="16"/>
        <v>3.3720528316536359E-2</v>
      </c>
      <c r="S29" s="2"/>
      <c r="T29" s="7">
        <v>2454.41</v>
      </c>
      <c r="U29" s="2"/>
      <c r="V29" s="8">
        <f t="shared" si="17"/>
        <v>0.52011892501282064</v>
      </c>
      <c r="W29" s="2"/>
      <c r="X29" s="7">
        <f t="shared" si="18"/>
        <v>-545.20999999999981</v>
      </c>
      <c r="Y29" s="2"/>
      <c r="Z29" s="8">
        <f t="shared" si="19"/>
        <v>-0.22213485114548909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7">
        <v>879.66</v>
      </c>
      <c r="E30" s="2"/>
      <c r="F30" s="8">
        <f t="shared" si="12"/>
        <v>2.3828679256322868E-2</v>
      </c>
      <c r="G30" s="2"/>
      <c r="H30" s="7">
        <v>986.74</v>
      </c>
      <c r="I30" s="2"/>
      <c r="J30" s="8">
        <f t="shared" si="13"/>
        <v>0.20910204410312488</v>
      </c>
      <c r="K30" s="2"/>
      <c r="L30" s="7">
        <f t="shared" si="14"/>
        <v>-107.08000000000004</v>
      </c>
      <c r="M30" s="2"/>
      <c r="N30" s="8">
        <f t="shared" si="15"/>
        <v>-0.10851896142854252</v>
      </c>
      <c r="O30" s="11"/>
      <c r="P30" s="7">
        <v>1755.63</v>
      </c>
      <c r="Q30" s="2"/>
      <c r="R30" s="8">
        <f t="shared" si="16"/>
        <v>3.100815583928385E-2</v>
      </c>
      <c r="S30" s="2"/>
      <c r="T30" s="7">
        <v>1596.54</v>
      </c>
      <c r="U30" s="2"/>
      <c r="V30" s="8">
        <f t="shared" si="17"/>
        <v>0.33832597998703101</v>
      </c>
      <c r="W30" s="2"/>
      <c r="X30" s="7">
        <f t="shared" si="18"/>
        <v>159.09000000000015</v>
      </c>
      <c r="Y30" s="2"/>
      <c r="Z30" s="8">
        <f t="shared" si="19"/>
        <v>9.9646736066744429E-2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7">
        <v>484</v>
      </c>
      <c r="E31" s="2"/>
      <c r="F31" s="8">
        <f t="shared" si="12"/>
        <v>1.3110839142464439E-2</v>
      </c>
      <c r="G31" s="2"/>
      <c r="H31" s="7">
        <v>646.41</v>
      </c>
      <c r="I31" s="2"/>
      <c r="J31" s="8">
        <f t="shared" si="13"/>
        <v>0.13698203410087859</v>
      </c>
      <c r="K31" s="2"/>
      <c r="L31" s="7">
        <f t="shared" si="14"/>
        <v>-162.40999999999997</v>
      </c>
      <c r="M31" s="2"/>
      <c r="N31" s="8">
        <f t="shared" si="15"/>
        <v>-0.25124920715954269</v>
      </c>
      <c r="O31" s="11"/>
      <c r="P31" s="7">
        <v>979.29</v>
      </c>
      <c r="Q31" s="2"/>
      <c r="R31" s="8">
        <f t="shared" si="16"/>
        <v>1.7296342015032939E-2</v>
      </c>
      <c r="S31" s="2"/>
      <c r="T31" s="7">
        <v>918.16</v>
      </c>
      <c r="U31" s="2"/>
      <c r="V31" s="8">
        <f t="shared" si="17"/>
        <v>0.19456911933612211</v>
      </c>
      <c r="W31" s="2"/>
      <c r="X31" s="7">
        <f t="shared" si="18"/>
        <v>61.129999999999995</v>
      </c>
      <c r="Y31" s="2"/>
      <c r="Z31" s="8">
        <f t="shared" si="19"/>
        <v>6.6578809793500046E-2</v>
      </c>
    </row>
    <row r="32" spans="1:26" s="28" customFormat="1" outlineLevel="1" collapsed="1" x14ac:dyDescent="0.3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20004.48</v>
      </c>
      <c r="E32" s="1"/>
      <c r="F32" s="5">
        <f t="shared" ref="F32:F36" si="20">IF(D$12=0,0,D32/D$12)</f>
        <v>0.54189156902613012</v>
      </c>
      <c r="G32" s="1"/>
      <c r="H32" s="1">
        <f>SUM(OSRRefH22_1x_0)</f>
        <v>19671.969999999998</v>
      </c>
      <c r="I32" s="1"/>
      <c r="J32" s="5">
        <f t="shared" ref="J32:J36" si="21">IF(H$12=0,0,H32/H$12)</f>
        <v>4.168726451279313</v>
      </c>
      <c r="K32" s="1"/>
      <c r="L32" s="1">
        <f t="shared" ref="L32:L36" si="22">+D32-H32</f>
        <v>332.51000000000204</v>
      </c>
      <c r="M32" s="1"/>
      <c r="N32" s="5">
        <f t="shared" ref="N32:N36" si="23">IF(H32=0,0,L32/H32)</f>
        <v>1.6902730128197738E-2</v>
      </c>
      <c r="O32" s="14"/>
      <c r="P32" s="1">
        <f>SUM(OSRRefP22_1x_0)</f>
        <v>37656.11</v>
      </c>
      <c r="Q32" s="1"/>
      <c r="R32" s="5">
        <f t="shared" ref="R32:R36" si="24">IF(P$12=0,0,P32/P$12)</f>
        <v>0.66508690736727838</v>
      </c>
      <c r="S32" s="1"/>
      <c r="T32" s="1">
        <f>SUM(OSRRefT22_1x_0)</f>
        <v>37022.879999999997</v>
      </c>
      <c r="U32" s="1"/>
      <c r="V32" s="5">
        <f t="shared" ref="V32:V36" si="25">IF(T$12=0,0,T32/T$12)</f>
        <v>7.8455924423705321</v>
      </c>
      <c r="W32" s="1"/>
      <c r="X32" s="1">
        <f t="shared" ref="X32:X36" si="26">+P32-T32</f>
        <v>633.2300000000032</v>
      </c>
      <c r="Y32" s="1"/>
      <c r="Z32" s="5">
        <f t="shared" ref="Z32:Z36" si="27">IF(T32=0,0,X32/T32)</f>
        <v>1.7103747736534902E-2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7">
        <v>9276.15</v>
      </c>
      <c r="E33" s="2"/>
      <c r="F33" s="8">
        <f t="shared" si="20"/>
        <v>0.25127708783341218</v>
      </c>
      <c r="G33" s="2"/>
      <c r="H33" s="7">
        <v>14643.4</v>
      </c>
      <c r="I33" s="2"/>
      <c r="J33" s="8">
        <f t="shared" si="21"/>
        <v>3.1031121395906709</v>
      </c>
      <c r="K33" s="2"/>
      <c r="L33" s="7">
        <f t="shared" si="22"/>
        <v>-5367.25</v>
      </c>
      <c r="M33" s="2"/>
      <c r="N33" s="8">
        <f t="shared" si="23"/>
        <v>-0.3665303139981152</v>
      </c>
      <c r="O33" s="11"/>
      <c r="P33" s="7">
        <v>20738.73</v>
      </c>
      <c r="Q33" s="2"/>
      <c r="R33" s="8">
        <f t="shared" si="24"/>
        <v>0.36629003363398388</v>
      </c>
      <c r="S33" s="2"/>
      <c r="T33" s="7">
        <v>27872.58</v>
      </c>
      <c r="U33" s="2"/>
      <c r="V33" s="8">
        <f t="shared" si="25"/>
        <v>5.9065340945212279</v>
      </c>
      <c r="W33" s="2"/>
      <c r="X33" s="7">
        <f t="shared" si="26"/>
        <v>-7133.8500000000022</v>
      </c>
      <c r="Y33" s="2"/>
      <c r="Z33" s="8">
        <f t="shared" si="27"/>
        <v>-0.2559450901208285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7">
        <v>3255.04</v>
      </c>
      <c r="E34" s="2"/>
      <c r="F34" s="8">
        <f t="shared" si="20"/>
        <v>8.8174185624560836E-2</v>
      </c>
      <c r="G34" s="2"/>
      <c r="H34" s="7">
        <v>4818.47</v>
      </c>
      <c r="I34" s="2"/>
      <c r="J34" s="8">
        <f t="shared" si="21"/>
        <v>1.0210916010799036</v>
      </c>
      <c r="K34" s="2"/>
      <c r="L34" s="7">
        <f t="shared" si="22"/>
        <v>-1563.4300000000003</v>
      </c>
      <c r="M34" s="2"/>
      <c r="N34" s="8">
        <f t="shared" si="23"/>
        <v>-0.32446606495422825</v>
      </c>
      <c r="O34" s="11"/>
      <c r="P34" s="7">
        <v>6250.03</v>
      </c>
      <c r="Q34" s="2"/>
      <c r="R34" s="8">
        <f t="shared" si="24"/>
        <v>0.11038880871265541</v>
      </c>
      <c r="S34" s="2"/>
      <c r="T34" s="7">
        <v>7590.2</v>
      </c>
      <c r="U34" s="2"/>
      <c r="V34" s="8">
        <f t="shared" si="25"/>
        <v>1.608454441039725</v>
      </c>
      <c r="W34" s="2"/>
      <c r="X34" s="7">
        <f t="shared" si="26"/>
        <v>-1340.17</v>
      </c>
      <c r="Y34" s="2"/>
      <c r="Z34" s="8">
        <f t="shared" si="27"/>
        <v>-0.17656583489236122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7">
        <v>3277.99</v>
      </c>
      <c r="E35" s="2"/>
      <c r="F35" s="8">
        <f t="shared" si="20"/>
        <v>8.8795866943402899E-2</v>
      </c>
      <c r="G35" s="2"/>
      <c r="H35" s="7">
        <v>155.1</v>
      </c>
      <c r="I35" s="2"/>
      <c r="J35" s="8">
        <f t="shared" si="21"/>
        <v>3.2867550763518924E-2</v>
      </c>
      <c r="K35" s="2"/>
      <c r="L35" s="7">
        <f t="shared" si="22"/>
        <v>3122.89</v>
      </c>
      <c r="M35" s="2"/>
      <c r="N35" s="8">
        <f t="shared" si="23"/>
        <v>20.134687298517086</v>
      </c>
      <c r="O35" s="11"/>
      <c r="P35" s="7">
        <v>5089.05</v>
      </c>
      <c r="Q35" s="2"/>
      <c r="R35" s="8">
        <f t="shared" si="24"/>
        <v>8.9883435276172929E-2</v>
      </c>
      <c r="S35" s="2"/>
      <c r="T35" s="7">
        <v>155.1</v>
      </c>
      <c r="U35" s="2"/>
      <c r="V35" s="8">
        <f t="shared" si="25"/>
        <v>3.2867550763518924E-2</v>
      </c>
      <c r="W35" s="2"/>
      <c r="X35" s="7">
        <f t="shared" si="26"/>
        <v>4933.95</v>
      </c>
      <c r="Y35" s="2"/>
      <c r="Z35" s="8">
        <f t="shared" si="27"/>
        <v>31.811411992263057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7">
        <v>4195.3</v>
      </c>
      <c r="E36" s="2"/>
      <c r="F36" s="8">
        <f t="shared" si="20"/>
        <v>0.11364442862475425</v>
      </c>
      <c r="G36" s="2"/>
      <c r="H36" s="7">
        <v>55</v>
      </c>
      <c r="I36" s="2"/>
      <c r="J36" s="8">
        <f t="shared" si="21"/>
        <v>1.1655159845219478E-2</v>
      </c>
      <c r="K36" s="2"/>
      <c r="L36" s="7">
        <f t="shared" si="22"/>
        <v>4140.3</v>
      </c>
      <c r="M36" s="2"/>
      <c r="N36" s="8">
        <f t="shared" si="23"/>
        <v>75.278181818181821</v>
      </c>
      <c r="O36" s="11"/>
      <c r="P36" s="7">
        <v>5578.3</v>
      </c>
      <c r="Q36" s="2"/>
      <c r="R36" s="8">
        <f t="shared" si="24"/>
        <v>9.8524629744466144E-2</v>
      </c>
      <c r="S36" s="2"/>
      <c r="T36" s="7">
        <v>1405</v>
      </c>
      <c r="U36" s="2"/>
      <c r="V36" s="8">
        <f t="shared" si="25"/>
        <v>0.29773635604606119</v>
      </c>
      <c r="W36" s="2"/>
      <c r="X36" s="7">
        <f t="shared" si="26"/>
        <v>4173.3</v>
      </c>
      <c r="Y36" s="2"/>
      <c r="Z36" s="8">
        <f t="shared" si="27"/>
        <v>2.9703202846975092</v>
      </c>
    </row>
    <row r="37" spans="1:26" s="28" customFormat="1" outlineLevel="1" collapsed="1" x14ac:dyDescent="0.3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16</v>
      </c>
      <c r="E37" s="1"/>
      <c r="F37" s="5">
        <f t="shared" ref="F37:F45" si="28">IF(D$12=0,0,D37/D$12)</f>
        <v>4.3341616999882437E-4</v>
      </c>
      <c r="G37" s="1"/>
      <c r="H37" s="1">
        <f>SUM(OSRRefH22_2x_0)</f>
        <v>0</v>
      </c>
      <c r="I37" s="1"/>
      <c r="J37" s="5">
        <f t="shared" ref="J37:J45" si="29">IF(H$12=0,0,H37/H$12)</f>
        <v>0</v>
      </c>
      <c r="K37" s="1"/>
      <c r="L37" s="1">
        <f t="shared" ref="L37:L45" si="30">+D37-H37</f>
        <v>16</v>
      </c>
      <c r="M37" s="1"/>
      <c r="N37" s="5">
        <f t="shared" ref="N37:N45" si="31">IF(H37=0,0,L37/H37)</f>
        <v>0</v>
      </c>
      <c r="O37" s="14"/>
      <c r="P37" s="1">
        <f>SUM(OSRRefP22_2x_0)</f>
        <v>143.33000000000001</v>
      </c>
      <c r="Q37" s="1"/>
      <c r="R37" s="5">
        <f t="shared" ref="R37:R45" si="32">IF(P$12=0,0,P37/P$12)</f>
        <v>2.531512321186443E-3</v>
      </c>
      <c r="S37" s="1"/>
      <c r="T37" s="1">
        <f>SUM(OSRRefT22_2x_0)</f>
        <v>45.97</v>
      </c>
      <c r="U37" s="1"/>
      <c r="V37" s="5">
        <f t="shared" ref="V37:V45" si="33">IF(T$12=0,0,T37/T$12)</f>
        <v>9.7415945106316248E-3</v>
      </c>
      <c r="W37" s="1"/>
      <c r="X37" s="1">
        <f t="shared" ref="X37:X45" si="34">+P37-T37</f>
        <v>97.360000000000014</v>
      </c>
      <c r="Y37" s="1"/>
      <c r="Z37" s="5">
        <f t="shared" ref="Z37:Z45" si="35">IF(T37=0,0,X37/T37)</f>
        <v>2.1179029802044815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7">
        <v>16</v>
      </c>
      <c r="E38" s="2"/>
      <c r="F38" s="8">
        <f t="shared" si="28"/>
        <v>4.3341616999882437E-4</v>
      </c>
      <c r="G38" s="2"/>
      <c r="H38" s="7"/>
      <c r="I38" s="2"/>
      <c r="J38" s="8">
        <f t="shared" si="29"/>
        <v>0</v>
      </c>
      <c r="K38" s="2"/>
      <c r="L38" s="7">
        <f t="shared" si="30"/>
        <v>16</v>
      </c>
      <c r="M38" s="2"/>
      <c r="N38" s="8">
        <f t="shared" si="31"/>
        <v>0</v>
      </c>
      <c r="O38" s="11"/>
      <c r="P38" s="7">
        <v>143.33000000000001</v>
      </c>
      <c r="Q38" s="2"/>
      <c r="R38" s="8">
        <f t="shared" si="32"/>
        <v>2.531512321186443E-3</v>
      </c>
      <c r="S38" s="2"/>
      <c r="T38" s="7">
        <v>45.97</v>
      </c>
      <c r="U38" s="2"/>
      <c r="V38" s="8">
        <f t="shared" si="33"/>
        <v>9.7415945106316248E-3</v>
      </c>
      <c r="W38" s="2"/>
      <c r="X38" s="7">
        <f t="shared" si="34"/>
        <v>97.360000000000014</v>
      </c>
      <c r="Y38" s="2"/>
      <c r="Z38" s="8">
        <f t="shared" si="35"/>
        <v>2.1179029802044815</v>
      </c>
    </row>
    <row r="39" spans="1:26" s="28" customFormat="1" outlineLevel="1" collapsed="1" x14ac:dyDescent="0.3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13.78</v>
      </c>
      <c r="E39" s="1"/>
      <c r="F39" s="5">
        <f t="shared" si="28"/>
        <v>3.7327967641148749E-4</v>
      </c>
      <c r="G39" s="1"/>
      <c r="H39" s="1">
        <f>SUM(OSRRefH22_3x_0)</f>
        <v>-0.14000000000000001</v>
      </c>
      <c r="I39" s="1"/>
      <c r="J39" s="5">
        <f t="shared" si="29"/>
        <v>-2.9667679606013222E-5</v>
      </c>
      <c r="K39" s="1"/>
      <c r="L39" s="1">
        <f t="shared" si="30"/>
        <v>13.92</v>
      </c>
      <c r="M39" s="1"/>
      <c r="N39" s="5">
        <f t="shared" si="31"/>
        <v>-99.428571428571416</v>
      </c>
      <c r="O39" s="14"/>
      <c r="P39" s="1">
        <f>SUM(OSRRefP22_3x_0)</f>
        <v>-5.24</v>
      </c>
      <c r="Q39" s="1"/>
      <c r="R39" s="5">
        <f t="shared" si="32"/>
        <v>-9.2549532986931971E-5</v>
      </c>
      <c r="S39" s="1"/>
      <c r="T39" s="1">
        <f>SUM(OSRRefT22_3x_0)</f>
        <v>-0.14000000000000001</v>
      </c>
      <c r="U39" s="1"/>
      <c r="V39" s="5">
        <f t="shared" si="33"/>
        <v>-2.9667679606013222E-5</v>
      </c>
      <c r="W39" s="1"/>
      <c r="X39" s="1">
        <f t="shared" si="34"/>
        <v>-5.1000000000000005</v>
      </c>
      <c r="Y39" s="1"/>
      <c r="Z39" s="5">
        <f t="shared" si="35"/>
        <v>36.428571428571431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7">
        <v>13.78</v>
      </c>
      <c r="E40" s="2"/>
      <c r="F40" s="8">
        <f t="shared" si="28"/>
        <v>3.7327967641148749E-4</v>
      </c>
      <c r="G40" s="2"/>
      <c r="H40" s="7">
        <v>-0.14000000000000001</v>
      </c>
      <c r="I40" s="2"/>
      <c r="J40" s="8">
        <f t="shared" si="29"/>
        <v>-2.9667679606013222E-5</v>
      </c>
      <c r="K40" s="2"/>
      <c r="L40" s="7">
        <f t="shared" si="30"/>
        <v>13.92</v>
      </c>
      <c r="M40" s="2"/>
      <c r="N40" s="8">
        <f t="shared" si="31"/>
        <v>-99.428571428571416</v>
      </c>
      <c r="O40" s="11"/>
      <c r="P40" s="7">
        <v>-5.24</v>
      </c>
      <c r="Q40" s="2"/>
      <c r="R40" s="8">
        <f t="shared" si="32"/>
        <v>-9.2549532986931971E-5</v>
      </c>
      <c r="S40" s="2"/>
      <c r="T40" s="7">
        <v>-0.14000000000000001</v>
      </c>
      <c r="U40" s="2"/>
      <c r="V40" s="8">
        <f t="shared" si="33"/>
        <v>-2.9667679606013222E-5</v>
      </c>
      <c r="W40" s="2"/>
      <c r="X40" s="7">
        <f t="shared" si="34"/>
        <v>-5.1000000000000005</v>
      </c>
      <c r="Y40" s="2"/>
      <c r="Z40" s="8">
        <f t="shared" si="35"/>
        <v>36.428571428571431</v>
      </c>
    </row>
    <row r="41" spans="1:26" s="28" customFormat="1" outlineLevel="1" collapsed="1" x14ac:dyDescent="0.3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1376.48</v>
      </c>
      <c r="E41" s="1"/>
      <c r="F41" s="5">
        <f t="shared" si="28"/>
        <v>3.7286793104998862E-2</v>
      </c>
      <c r="G41" s="1"/>
      <c r="H41" s="1">
        <f>SUM(OSRRefH22_4x_0)</f>
        <v>1.26</v>
      </c>
      <c r="I41" s="1"/>
      <c r="J41" s="5">
        <f t="shared" si="29"/>
        <v>2.6700911645411894E-4</v>
      </c>
      <c r="K41" s="1"/>
      <c r="L41" s="1">
        <f t="shared" si="30"/>
        <v>1375.22</v>
      </c>
      <c r="M41" s="1"/>
      <c r="N41" s="5">
        <f t="shared" si="31"/>
        <v>1091.4444444444446</v>
      </c>
      <c r="O41" s="14"/>
      <c r="P41" s="1">
        <f>SUM(OSRRefP22_4x_0)</f>
        <v>2066.7199999999998</v>
      </c>
      <c r="Q41" s="1"/>
      <c r="R41" s="5">
        <f t="shared" si="32"/>
        <v>3.6502666186021375E-2</v>
      </c>
      <c r="S41" s="1"/>
      <c r="T41" s="1">
        <f>SUM(OSRRefT22_4x_0)</f>
        <v>1.26</v>
      </c>
      <c r="U41" s="1"/>
      <c r="V41" s="5">
        <f t="shared" si="33"/>
        <v>2.6700911645411894E-4</v>
      </c>
      <c r="W41" s="1"/>
      <c r="X41" s="1">
        <f t="shared" si="34"/>
        <v>2065.4599999999996</v>
      </c>
      <c r="Y41" s="1"/>
      <c r="Z41" s="5">
        <f t="shared" si="35"/>
        <v>1639.253968253968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7">
        <v>1376.48</v>
      </c>
      <c r="E42" s="2"/>
      <c r="F42" s="8">
        <f t="shared" si="28"/>
        <v>3.7286793104998862E-2</v>
      </c>
      <c r="G42" s="2"/>
      <c r="H42" s="7">
        <v>1.26</v>
      </c>
      <c r="I42" s="2"/>
      <c r="J42" s="8">
        <f t="shared" si="29"/>
        <v>2.6700911645411894E-4</v>
      </c>
      <c r="K42" s="2"/>
      <c r="L42" s="7">
        <f t="shared" si="30"/>
        <v>1375.22</v>
      </c>
      <c r="M42" s="2"/>
      <c r="N42" s="8">
        <f t="shared" si="31"/>
        <v>1091.4444444444446</v>
      </c>
      <c r="O42" s="11"/>
      <c r="P42" s="7">
        <v>2066.7199999999998</v>
      </c>
      <c r="Q42" s="2"/>
      <c r="R42" s="8">
        <f t="shared" si="32"/>
        <v>3.6502666186021375E-2</v>
      </c>
      <c r="S42" s="2"/>
      <c r="T42" s="7">
        <v>1.26</v>
      </c>
      <c r="U42" s="2"/>
      <c r="V42" s="8">
        <f t="shared" si="33"/>
        <v>2.6700911645411894E-4</v>
      </c>
      <c r="W42" s="2"/>
      <c r="X42" s="7">
        <f t="shared" si="34"/>
        <v>2065.4599999999996</v>
      </c>
      <c r="Y42" s="2"/>
      <c r="Z42" s="8">
        <f t="shared" si="35"/>
        <v>1639.253968253968</v>
      </c>
    </row>
    <row r="43" spans="1:26" s="28" customFormat="1" outlineLevel="1" collapsed="1" x14ac:dyDescent="0.3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8"/>
        <v>0.37943797841695831</v>
      </c>
      <c r="G43" s="1"/>
      <c r="H43" s="1">
        <f>SUM(OSRRefH22_5x_0)</f>
        <v>13968.220000000001</v>
      </c>
      <c r="I43" s="1"/>
      <c r="J43" s="5">
        <f t="shared" si="29"/>
        <v>2.9600333973307569</v>
      </c>
      <c r="K43" s="1"/>
      <c r="L43" s="1">
        <f t="shared" si="30"/>
        <v>39.119999999998981</v>
      </c>
      <c r="M43" s="1"/>
      <c r="N43" s="5">
        <f t="shared" si="31"/>
        <v>2.8006431742912826E-3</v>
      </c>
      <c r="O43" s="14"/>
      <c r="P43" s="1">
        <f>SUM(OSRRefP22_5x_0)</f>
        <v>28014.68</v>
      </c>
      <c r="Q43" s="1"/>
      <c r="R43" s="5">
        <f t="shared" si="32"/>
        <v>0.49479876923250826</v>
      </c>
      <c r="S43" s="1"/>
      <c r="T43" s="1">
        <f>SUM(OSRRefT22_5x_0)</f>
        <v>27655.18</v>
      </c>
      <c r="U43" s="1"/>
      <c r="V43" s="5">
        <f t="shared" si="33"/>
        <v>5.8604644263330332</v>
      </c>
      <c r="W43" s="1"/>
      <c r="X43" s="1">
        <f t="shared" si="34"/>
        <v>359.5</v>
      </c>
      <c r="Y43" s="1"/>
      <c r="Z43" s="5">
        <f t="shared" si="35"/>
        <v>1.2999372992690701E-2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7">
        <v>10597.26</v>
      </c>
      <c r="E44" s="2"/>
      <c r="F44" s="8">
        <f t="shared" si="28"/>
        <v>0.28706399010510886</v>
      </c>
      <c r="G44" s="2"/>
      <c r="H44" s="7">
        <v>10597.26</v>
      </c>
      <c r="I44" s="2"/>
      <c r="J44" s="8">
        <f t="shared" si="29"/>
        <v>2.2456865312972831</v>
      </c>
      <c r="K44" s="2"/>
      <c r="L44" s="7">
        <f t="shared" si="30"/>
        <v>0</v>
      </c>
      <c r="M44" s="2"/>
      <c r="N44" s="8">
        <f t="shared" si="31"/>
        <v>0</v>
      </c>
      <c r="O44" s="11"/>
      <c r="P44" s="7">
        <v>21194.52</v>
      </c>
      <c r="Q44" s="2"/>
      <c r="R44" s="8">
        <f t="shared" si="32"/>
        <v>0.37434025341263155</v>
      </c>
      <c r="S44" s="2"/>
      <c r="T44" s="7">
        <v>21194.52</v>
      </c>
      <c r="U44" s="2"/>
      <c r="V44" s="8">
        <f t="shared" si="33"/>
        <v>4.4913730625945663</v>
      </c>
      <c r="W44" s="2"/>
      <c r="X44" s="7">
        <f t="shared" si="34"/>
        <v>0</v>
      </c>
      <c r="Y44" s="2"/>
      <c r="Z44" s="8">
        <f t="shared" si="35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3410.08</v>
      </c>
      <c r="E45" s="2"/>
      <c r="F45" s="8">
        <f t="shared" si="28"/>
        <v>9.2373988311849439E-2</v>
      </c>
      <c r="G45" s="2"/>
      <c r="H45" s="7">
        <v>3370.96</v>
      </c>
      <c r="I45" s="2"/>
      <c r="J45" s="8">
        <f t="shared" si="29"/>
        <v>0.71434686603347364</v>
      </c>
      <c r="K45" s="2"/>
      <c r="L45" s="7">
        <f t="shared" si="30"/>
        <v>39.119999999999891</v>
      </c>
      <c r="M45" s="2"/>
      <c r="N45" s="8">
        <f t="shared" si="31"/>
        <v>1.1605002729192838E-2</v>
      </c>
      <c r="O45" s="11"/>
      <c r="P45" s="7">
        <v>6820.16</v>
      </c>
      <c r="Q45" s="2"/>
      <c r="R45" s="8">
        <f t="shared" si="32"/>
        <v>0.1204585158198767</v>
      </c>
      <c r="S45" s="2"/>
      <c r="T45" s="7">
        <v>6460.66</v>
      </c>
      <c r="U45" s="2"/>
      <c r="V45" s="8">
        <f t="shared" si="33"/>
        <v>1.3690913637384667</v>
      </c>
      <c r="W45" s="2"/>
      <c r="X45" s="7">
        <f t="shared" si="34"/>
        <v>359.5</v>
      </c>
      <c r="Y45" s="2"/>
      <c r="Z45" s="8">
        <f t="shared" si="35"/>
        <v>5.5644469760055479E-2</v>
      </c>
    </row>
    <row r="46" spans="1:26" s="28" customFormat="1" outlineLevel="1" collapsed="1" x14ac:dyDescent="0.3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328.87</v>
      </c>
      <c r="E46" s="1"/>
      <c r="F46" s="5">
        <f t="shared" ref="F46:F56" si="36">IF(D$12=0,0,D46/D$12)</f>
        <v>8.9085984892195869E-3</v>
      </c>
      <c r="G46" s="1"/>
      <c r="H46" s="1">
        <f>SUM(OSRRefH22_6x_0)</f>
        <v>72.540000000000006</v>
      </c>
      <c r="I46" s="1"/>
      <c r="J46" s="5">
        <f t="shared" ref="J46:J56" si="37">IF(H$12=0,0,H46/H$12)</f>
        <v>1.5372096275858563E-2</v>
      </c>
      <c r="K46" s="1"/>
      <c r="L46" s="1">
        <f t="shared" ref="L46:L56" si="38">+D46-H46</f>
        <v>256.33</v>
      </c>
      <c r="M46" s="1"/>
      <c r="N46" s="5">
        <f t="shared" ref="N46:N56" si="39">IF(H46=0,0,L46/H46)</f>
        <v>3.5336366142817752</v>
      </c>
      <c r="O46" s="14"/>
      <c r="P46" s="1">
        <f>SUM(OSRRefP22_6x_0)</f>
        <v>490.07</v>
      </c>
      <c r="Q46" s="1"/>
      <c r="R46" s="5">
        <f t="shared" ref="R46:R56" si="40">IF(P$12=0,0,P46/P$12)</f>
        <v>8.6556774104781971E-3</v>
      </c>
      <c r="S46" s="1"/>
      <c r="T46" s="1">
        <f>SUM(OSRRefT22_6x_0)</f>
        <v>178.15</v>
      </c>
      <c r="U46" s="1"/>
      <c r="V46" s="5">
        <f t="shared" ref="V46:V56" si="41">IF(T$12=0,0,T46/T$12)</f>
        <v>3.7752122298651818E-2</v>
      </c>
      <c r="W46" s="1"/>
      <c r="X46" s="1">
        <f t="shared" ref="X46:X56" si="42">+P46-T46</f>
        <v>311.91999999999996</v>
      </c>
      <c r="Y46" s="1"/>
      <c r="Z46" s="5">
        <f t="shared" ref="Z46:Z56" si="43">IF(T46=0,0,X46/T46)</f>
        <v>1.7508840864440076</v>
      </c>
    </row>
    <row r="47" spans="1:26" s="24" customFormat="1" hidden="1" outlineLevel="2" x14ac:dyDescent="0.3">
      <c r="A47" s="27"/>
      <c r="B47" s="11" t="str">
        <f>CONCATENATE("          ", "6351", " - ", "EQUIPMENT RENTAL")</f>
        <v xml:space="preserve">          6351 - EQUIPMENT RENTAL</v>
      </c>
      <c r="C47" s="11"/>
      <c r="D47" s="7">
        <v>328.87</v>
      </c>
      <c r="E47" s="2"/>
      <c r="F47" s="8">
        <f t="shared" si="36"/>
        <v>8.9085984892195869E-3</v>
      </c>
      <c r="G47" s="2"/>
      <c r="H47" s="7">
        <v>72.540000000000006</v>
      </c>
      <c r="I47" s="2"/>
      <c r="J47" s="8">
        <f t="shared" si="37"/>
        <v>1.5372096275858563E-2</v>
      </c>
      <c r="K47" s="2"/>
      <c r="L47" s="7">
        <f t="shared" si="38"/>
        <v>256.33</v>
      </c>
      <c r="M47" s="2"/>
      <c r="N47" s="8">
        <f t="shared" si="39"/>
        <v>3.5336366142817752</v>
      </c>
      <c r="O47" s="11"/>
      <c r="P47" s="7">
        <v>490.07</v>
      </c>
      <c r="Q47" s="2"/>
      <c r="R47" s="8">
        <f t="shared" si="40"/>
        <v>8.6556774104781971E-3</v>
      </c>
      <c r="S47" s="2"/>
      <c r="T47" s="7">
        <v>178.15</v>
      </c>
      <c r="U47" s="2"/>
      <c r="V47" s="8">
        <f t="shared" si="41"/>
        <v>3.7752122298651818E-2</v>
      </c>
      <c r="W47" s="2"/>
      <c r="X47" s="7">
        <f t="shared" si="42"/>
        <v>311.91999999999996</v>
      </c>
      <c r="Y47" s="2"/>
      <c r="Z47" s="8">
        <f t="shared" si="43"/>
        <v>1.7508840864440076</v>
      </c>
    </row>
    <row r="48" spans="1:26" s="28" customFormat="1" outlineLevel="1" collapsed="1" x14ac:dyDescent="0.3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1465.15</v>
      </c>
      <c r="E48" s="1"/>
      <c r="F48" s="5">
        <f t="shared" si="36"/>
        <v>3.9688731342111101E-2</v>
      </c>
      <c r="G48" s="1"/>
      <c r="H48" s="1">
        <f>SUM(OSRRefH22_7x_0)</f>
        <v>0</v>
      </c>
      <c r="I48" s="1"/>
      <c r="J48" s="5">
        <f t="shared" si="37"/>
        <v>0</v>
      </c>
      <c r="K48" s="1"/>
      <c r="L48" s="1">
        <f t="shared" si="38"/>
        <v>1465.15</v>
      </c>
      <c r="M48" s="1"/>
      <c r="N48" s="5">
        <f t="shared" si="39"/>
        <v>0</v>
      </c>
      <c r="O48" s="14"/>
      <c r="P48" s="1">
        <f>SUM(OSRRefP22_7x_0)</f>
        <v>1507.92</v>
      </c>
      <c r="Q48" s="1"/>
      <c r="R48" s="5">
        <f t="shared" si="40"/>
        <v>2.6633070950697415E-2</v>
      </c>
      <c r="S48" s="1"/>
      <c r="T48" s="1">
        <f>SUM(OSRRefT22_7x_0)</f>
        <v>1404.55</v>
      </c>
      <c r="U48" s="1"/>
      <c r="V48" s="5">
        <f t="shared" si="41"/>
        <v>0.2976409956473276</v>
      </c>
      <c r="W48" s="1"/>
      <c r="X48" s="1">
        <f t="shared" si="42"/>
        <v>103.37000000000012</v>
      </c>
      <c r="Y48" s="1"/>
      <c r="Z48" s="5">
        <f t="shared" si="43"/>
        <v>7.359652557758721E-2</v>
      </c>
    </row>
    <row r="49" spans="1:26" s="24" customFormat="1" hidden="1" outlineLevel="2" x14ac:dyDescent="0.3">
      <c r="A49" s="27"/>
      <c r="B49" s="11" t="str">
        <f>CONCATENATE("          ", "6279", " - ", "GENERAL EXPENSE")</f>
        <v xml:space="preserve">          6279 - GENERAL EXPENSE</v>
      </c>
      <c r="C49" s="11"/>
      <c r="D49" s="7">
        <v>1465.15</v>
      </c>
      <c r="E49" s="2"/>
      <c r="F49" s="8">
        <f t="shared" si="36"/>
        <v>3.9688731342111101E-2</v>
      </c>
      <c r="G49" s="2"/>
      <c r="H49" s="7"/>
      <c r="I49" s="2"/>
      <c r="J49" s="8">
        <f t="shared" si="37"/>
        <v>0</v>
      </c>
      <c r="K49" s="2"/>
      <c r="L49" s="7">
        <f t="shared" si="38"/>
        <v>1465.15</v>
      </c>
      <c r="M49" s="2"/>
      <c r="N49" s="8">
        <f t="shared" si="39"/>
        <v>0</v>
      </c>
      <c r="O49" s="11"/>
      <c r="P49" s="7">
        <v>1507.92</v>
      </c>
      <c r="Q49" s="2"/>
      <c r="R49" s="8">
        <f t="shared" si="40"/>
        <v>2.6633070950697415E-2</v>
      </c>
      <c r="S49" s="2"/>
      <c r="T49" s="7">
        <v>1404.55</v>
      </c>
      <c r="U49" s="2"/>
      <c r="V49" s="8">
        <f t="shared" si="41"/>
        <v>0.2976409956473276</v>
      </c>
      <c r="W49" s="2"/>
      <c r="X49" s="7">
        <f t="shared" si="42"/>
        <v>103.37000000000012</v>
      </c>
      <c r="Y49" s="2"/>
      <c r="Z49" s="8">
        <f t="shared" si="43"/>
        <v>7.359652557758721E-2</v>
      </c>
    </row>
    <row r="50" spans="1:26" s="28" customFormat="1" outlineLevel="1" collapsed="1" x14ac:dyDescent="0.3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871.61</v>
      </c>
      <c r="E50" s="1"/>
      <c r="F50" s="5">
        <f t="shared" si="36"/>
        <v>2.361061674579221E-2</v>
      </c>
      <c r="G50" s="1"/>
      <c r="H50" s="1">
        <f>SUM(OSRRefH22_8x_0)</f>
        <v>641.28</v>
      </c>
      <c r="I50" s="1"/>
      <c r="J50" s="5">
        <f t="shared" si="37"/>
        <v>0.1358949255553154</v>
      </c>
      <c r="K50" s="1"/>
      <c r="L50" s="1">
        <f t="shared" si="38"/>
        <v>230.33000000000004</v>
      </c>
      <c r="M50" s="1"/>
      <c r="N50" s="5">
        <f t="shared" si="39"/>
        <v>0.35917228043912186</v>
      </c>
      <c r="O50" s="14"/>
      <c r="P50" s="1">
        <f>SUM(OSRRefP22_8x_0)</f>
        <v>1743.22</v>
      </c>
      <c r="Q50" s="1"/>
      <c r="R50" s="5">
        <f t="shared" si="40"/>
        <v>3.0788968872801439E-2</v>
      </c>
      <c r="S50" s="1"/>
      <c r="T50" s="1">
        <f>SUM(OSRRefT22_8x_0)</f>
        <v>1282.56</v>
      </c>
      <c r="U50" s="1"/>
      <c r="V50" s="5">
        <f t="shared" si="41"/>
        <v>0.27178985111063081</v>
      </c>
      <c r="W50" s="1"/>
      <c r="X50" s="1">
        <f t="shared" si="42"/>
        <v>460.66000000000008</v>
      </c>
      <c r="Y50" s="1"/>
      <c r="Z50" s="5">
        <f t="shared" si="43"/>
        <v>0.35917228043912186</v>
      </c>
    </row>
    <row r="51" spans="1:26" s="24" customFormat="1" hidden="1" outlineLevel="2" x14ac:dyDescent="0.3">
      <c r="A51" s="27"/>
      <c r="B51" s="11" t="str">
        <f>CONCATENATE("          ", "6314", " - ", "LIABILITY INSURANCE")</f>
        <v xml:space="preserve">          6314 - LIABILITY INSURANCE</v>
      </c>
      <c r="C51" s="11"/>
      <c r="D51" s="7">
        <v>871.61</v>
      </c>
      <c r="E51" s="2"/>
      <c r="F51" s="8">
        <f t="shared" si="36"/>
        <v>2.361061674579221E-2</v>
      </c>
      <c r="G51" s="2"/>
      <c r="H51" s="7">
        <v>641.28</v>
      </c>
      <c r="I51" s="2"/>
      <c r="J51" s="8">
        <f t="shared" si="37"/>
        <v>0.1358949255553154</v>
      </c>
      <c r="K51" s="2"/>
      <c r="L51" s="7">
        <f t="shared" si="38"/>
        <v>230.33000000000004</v>
      </c>
      <c r="M51" s="2"/>
      <c r="N51" s="8">
        <f t="shared" si="39"/>
        <v>0.35917228043912186</v>
      </c>
      <c r="O51" s="11"/>
      <c r="P51" s="7">
        <v>1743.22</v>
      </c>
      <c r="Q51" s="2"/>
      <c r="R51" s="8">
        <f t="shared" si="40"/>
        <v>3.0788968872801439E-2</v>
      </c>
      <c r="S51" s="2"/>
      <c r="T51" s="7">
        <v>1282.56</v>
      </c>
      <c r="U51" s="2"/>
      <c r="V51" s="8">
        <f t="shared" si="41"/>
        <v>0.27178985111063081</v>
      </c>
      <c r="W51" s="2"/>
      <c r="X51" s="7">
        <f t="shared" si="42"/>
        <v>460.66000000000008</v>
      </c>
      <c r="Y51" s="2"/>
      <c r="Z51" s="8">
        <f t="shared" si="43"/>
        <v>0.35917228043912186</v>
      </c>
    </row>
    <row r="52" spans="1:26" s="28" customFormat="1" outlineLevel="1" collapsed="1" x14ac:dyDescent="0.3">
      <c r="A52" s="29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7253</v>
      </c>
      <c r="E52" s="1"/>
      <c r="F52" s="5">
        <f t="shared" si="36"/>
        <v>0.19647296756259208</v>
      </c>
      <c r="G52" s="1"/>
      <c r="H52" s="1">
        <f>SUM(OSRRefH22_9x_0)</f>
        <v>7510</v>
      </c>
      <c r="I52" s="1"/>
      <c r="J52" s="5">
        <f t="shared" si="37"/>
        <v>1.5914590988654234</v>
      </c>
      <c r="K52" s="1"/>
      <c r="L52" s="1">
        <f t="shared" si="38"/>
        <v>-257</v>
      </c>
      <c r="M52" s="1"/>
      <c r="N52" s="5">
        <f t="shared" si="39"/>
        <v>-3.4221038615179764E-2</v>
      </c>
      <c r="O52" s="14"/>
      <c r="P52" s="1">
        <f>SUM(OSRRefP22_9x_0)</f>
        <v>14506</v>
      </c>
      <c r="Q52" s="1"/>
      <c r="R52" s="5">
        <f t="shared" si="40"/>
        <v>0.25620677967718225</v>
      </c>
      <c r="S52" s="1"/>
      <c r="T52" s="1">
        <f>SUM(OSRRefT22_9x_0)</f>
        <v>15020</v>
      </c>
      <c r="U52" s="1"/>
      <c r="V52" s="5">
        <f t="shared" si="41"/>
        <v>3.1829181977308467</v>
      </c>
      <c r="W52" s="1"/>
      <c r="X52" s="1">
        <f t="shared" si="42"/>
        <v>-514</v>
      </c>
      <c r="Y52" s="1"/>
      <c r="Z52" s="5">
        <f t="shared" si="43"/>
        <v>-3.4221038615179764E-2</v>
      </c>
    </row>
    <row r="53" spans="1:26" s="24" customFormat="1" hidden="1" outlineLevel="2" x14ac:dyDescent="0.3">
      <c r="A53" s="27"/>
      <c r="B53" s="11" t="str">
        <f>CONCATENATE("          ", "6401", " - ", "INTEREST EXPENSE")</f>
        <v xml:space="preserve">          6401 - INTEREST EXPENSE</v>
      </c>
      <c r="C53" s="11"/>
      <c r="D53" s="7">
        <v>7253</v>
      </c>
      <c r="E53" s="2"/>
      <c r="F53" s="8">
        <f t="shared" si="36"/>
        <v>0.19647296756259208</v>
      </c>
      <c r="G53" s="2"/>
      <c r="H53" s="7">
        <v>7510</v>
      </c>
      <c r="I53" s="2"/>
      <c r="J53" s="8">
        <f t="shared" si="37"/>
        <v>1.5914590988654234</v>
      </c>
      <c r="K53" s="2"/>
      <c r="L53" s="7">
        <f t="shared" si="38"/>
        <v>-257</v>
      </c>
      <c r="M53" s="2"/>
      <c r="N53" s="8">
        <f t="shared" si="39"/>
        <v>-3.4221038615179764E-2</v>
      </c>
      <c r="O53" s="11"/>
      <c r="P53" s="7">
        <v>14506</v>
      </c>
      <c r="Q53" s="2"/>
      <c r="R53" s="8">
        <f t="shared" si="40"/>
        <v>0.25620677967718225</v>
      </c>
      <c r="S53" s="2"/>
      <c r="T53" s="7">
        <v>15020</v>
      </c>
      <c r="U53" s="2"/>
      <c r="V53" s="8">
        <f t="shared" si="41"/>
        <v>3.1829181977308467</v>
      </c>
      <c r="W53" s="2"/>
      <c r="X53" s="7">
        <f t="shared" si="42"/>
        <v>-514</v>
      </c>
      <c r="Y53" s="2"/>
      <c r="Z53" s="8">
        <f t="shared" si="43"/>
        <v>-3.4221038615179764E-2</v>
      </c>
    </row>
    <row r="54" spans="1:26" s="28" customFormat="1" outlineLevel="1" collapsed="1" x14ac:dyDescent="0.3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7690.26</v>
      </c>
      <c r="E54" s="1"/>
      <c r="F54" s="5">
        <f t="shared" si="36"/>
        <v>0.20831768971844747</v>
      </c>
      <c r="G54" s="1"/>
      <c r="H54" s="1">
        <f>SUM(OSRRefH22_10x_0)</f>
        <v>2416.6</v>
      </c>
      <c r="I54" s="1"/>
      <c r="J54" s="5">
        <f t="shared" si="37"/>
        <v>0.51210653239922532</v>
      </c>
      <c r="K54" s="1"/>
      <c r="L54" s="1">
        <f t="shared" si="38"/>
        <v>5273.66</v>
      </c>
      <c r="M54" s="1"/>
      <c r="N54" s="5">
        <f t="shared" si="39"/>
        <v>2.1822643383265747</v>
      </c>
      <c r="O54" s="14"/>
      <c r="P54" s="1">
        <f>SUM(OSRRefP22_10x_0)</f>
        <v>8862.09</v>
      </c>
      <c r="Q54" s="1"/>
      <c r="R54" s="5">
        <f t="shared" si="40"/>
        <v>0.15652333793667175</v>
      </c>
      <c r="S54" s="1"/>
      <c r="T54" s="1">
        <f>SUM(OSRRefT22_10x_0)</f>
        <v>6488.5</v>
      </c>
      <c r="U54" s="1"/>
      <c r="V54" s="5">
        <f t="shared" si="41"/>
        <v>1.3749909937401197</v>
      </c>
      <c r="W54" s="1"/>
      <c r="X54" s="1">
        <f t="shared" si="42"/>
        <v>2373.59</v>
      </c>
      <c r="Y54" s="1"/>
      <c r="Z54" s="5">
        <f t="shared" si="43"/>
        <v>0.36581490329043698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7"/>
      <c r="E55" s="2"/>
      <c r="F55" s="8">
        <f t="shared" si="36"/>
        <v>0</v>
      </c>
      <c r="G55" s="2"/>
      <c r="H55" s="7">
        <v>157.19999999999999</v>
      </c>
      <c r="I55" s="2"/>
      <c r="J55" s="8">
        <f t="shared" si="37"/>
        <v>3.3312565957609126E-2</v>
      </c>
      <c r="K55" s="2"/>
      <c r="L55" s="7">
        <f t="shared" si="38"/>
        <v>-157.19999999999999</v>
      </c>
      <c r="M55" s="2"/>
      <c r="N55" s="8">
        <f t="shared" si="39"/>
        <v>-1</v>
      </c>
      <c r="O55" s="11"/>
      <c r="P55" s="7"/>
      <c r="Q55" s="2"/>
      <c r="R55" s="8">
        <f t="shared" si="40"/>
        <v>0</v>
      </c>
      <c r="S55" s="2"/>
      <c r="T55" s="7">
        <v>2509.7399999999998</v>
      </c>
      <c r="U55" s="2"/>
      <c r="V55" s="8">
        <f t="shared" si="41"/>
        <v>0.53184401581711149</v>
      </c>
      <c r="W55" s="2"/>
      <c r="X55" s="7">
        <f t="shared" si="42"/>
        <v>-2509.7399999999998</v>
      </c>
      <c r="Y55" s="2"/>
      <c r="Z55" s="8">
        <f t="shared" si="43"/>
        <v>-1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7">
        <v>7690.26</v>
      </c>
      <c r="E56" s="2"/>
      <c r="F56" s="8">
        <f t="shared" si="36"/>
        <v>0.20831768971844747</v>
      </c>
      <c r="G56" s="2"/>
      <c r="H56" s="7">
        <v>2259.4</v>
      </c>
      <c r="I56" s="2"/>
      <c r="J56" s="8">
        <f t="shared" si="37"/>
        <v>0.4787939664416162</v>
      </c>
      <c r="K56" s="2"/>
      <c r="L56" s="7">
        <f t="shared" si="38"/>
        <v>5430.8600000000006</v>
      </c>
      <c r="M56" s="2"/>
      <c r="N56" s="8">
        <f t="shared" si="39"/>
        <v>2.4036735416482253</v>
      </c>
      <c r="O56" s="11"/>
      <c r="P56" s="7">
        <v>8862.09</v>
      </c>
      <c r="Q56" s="2"/>
      <c r="R56" s="8">
        <f t="shared" si="40"/>
        <v>0.15652333793667175</v>
      </c>
      <c r="S56" s="2"/>
      <c r="T56" s="7">
        <v>3978.76</v>
      </c>
      <c r="U56" s="2"/>
      <c r="V56" s="8">
        <f t="shared" si="41"/>
        <v>0.8431469779230083</v>
      </c>
      <c r="W56" s="2"/>
      <c r="X56" s="7">
        <f t="shared" si="42"/>
        <v>4883.33</v>
      </c>
      <c r="Y56" s="2"/>
      <c r="Z56" s="8">
        <f t="shared" si="43"/>
        <v>1.2273497270506388</v>
      </c>
    </row>
    <row r="57" spans="1:26" s="28" customFormat="1" outlineLevel="1" collapsed="1" x14ac:dyDescent="0.3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11409.349999999999</v>
      </c>
      <c r="E57" s="1"/>
      <c r="F57" s="5">
        <f t="shared" ref="F57:F61" si="44">IF(D$12=0,0,D57/D$12)</f>
        <v>0.30906229869850543</v>
      </c>
      <c r="G57" s="1"/>
      <c r="H57" s="1">
        <f>SUM(OSRRefH22_11x_0)</f>
        <v>4789.1799999999994</v>
      </c>
      <c r="I57" s="1"/>
      <c r="J57" s="5">
        <f t="shared" ref="J57:J61" si="45">IF(H$12=0,0,H57/H$12)</f>
        <v>1.0148846986823312</v>
      </c>
      <c r="K57" s="1"/>
      <c r="L57" s="1">
        <f t="shared" ref="L57:L61" si="46">+D57-H57</f>
        <v>6620.1699999999992</v>
      </c>
      <c r="M57" s="1"/>
      <c r="N57" s="5">
        <f t="shared" ref="N57:N61" si="47">IF(H57=0,0,L57/H57)</f>
        <v>1.3823180586238146</v>
      </c>
      <c r="O57" s="14"/>
      <c r="P57" s="1">
        <f>SUM(OSRRefP22_11x_0)</f>
        <v>15328.48</v>
      </c>
      <c r="Q57" s="1"/>
      <c r="R57" s="5">
        <f t="shared" ref="R57:R61" si="48">IF(P$12=0,0,P57/P$12)</f>
        <v>0.27073352393120742</v>
      </c>
      <c r="S57" s="1"/>
      <c r="T57" s="1">
        <f>SUM(OSRRefT22_11x_0)</f>
        <v>5789.1799999999994</v>
      </c>
      <c r="U57" s="1"/>
      <c r="V57" s="5">
        <f t="shared" ref="V57:V61" si="49">IF(T$12=0,0,T57/T$12)</f>
        <v>1.2267966958681398</v>
      </c>
      <c r="W57" s="1"/>
      <c r="X57" s="1">
        <f t="shared" ref="X57:X61" si="50">+P57-T57</f>
        <v>9539.2999999999993</v>
      </c>
      <c r="Y57" s="1"/>
      <c r="Z57" s="5">
        <f t="shared" ref="Z57:Z61" si="51">IF(T57=0,0,X57/T57)</f>
        <v>1.6477808601563606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351.55</v>
      </c>
      <c r="E58" s="2"/>
      <c r="F58" s="8">
        <f t="shared" si="44"/>
        <v>9.5229659101929206E-3</v>
      </c>
      <c r="G58" s="2"/>
      <c r="H58" s="7">
        <v>485.89</v>
      </c>
      <c r="I58" s="2"/>
      <c r="J58" s="8">
        <f t="shared" si="45"/>
        <v>0.10296592031261258</v>
      </c>
      <c r="K58" s="2"/>
      <c r="L58" s="7">
        <f t="shared" si="46"/>
        <v>-134.33999999999997</v>
      </c>
      <c r="M58" s="2"/>
      <c r="N58" s="8">
        <f t="shared" si="47"/>
        <v>-0.27648233139187878</v>
      </c>
      <c r="O58" s="11"/>
      <c r="P58" s="7">
        <v>351.55</v>
      </c>
      <c r="Q58" s="2"/>
      <c r="R58" s="8">
        <f t="shared" si="48"/>
        <v>6.2091199086938805E-3</v>
      </c>
      <c r="S58" s="2"/>
      <c r="T58" s="7">
        <v>485.89</v>
      </c>
      <c r="U58" s="2"/>
      <c r="V58" s="8">
        <f t="shared" si="49"/>
        <v>0.10296592031261258</v>
      </c>
      <c r="W58" s="2"/>
      <c r="X58" s="7">
        <f t="shared" si="50"/>
        <v>-134.33999999999997</v>
      </c>
      <c r="Y58" s="2"/>
      <c r="Z58" s="8">
        <f t="shared" si="51"/>
        <v>-0.27648233139187878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8">
        <f t="shared" si="44"/>
        <v>0</v>
      </c>
      <c r="G59" s="2"/>
      <c r="H59" s="7">
        <v>1000</v>
      </c>
      <c r="I59" s="2"/>
      <c r="J59" s="8">
        <f t="shared" si="45"/>
        <v>0.21191199718580869</v>
      </c>
      <c r="K59" s="2"/>
      <c r="L59" s="7">
        <f t="shared" si="46"/>
        <v>-1000</v>
      </c>
      <c r="M59" s="2"/>
      <c r="N59" s="8">
        <f t="shared" si="47"/>
        <v>-1</v>
      </c>
      <c r="O59" s="11"/>
      <c r="P59" s="7"/>
      <c r="Q59" s="2"/>
      <c r="R59" s="8">
        <f t="shared" si="48"/>
        <v>0</v>
      </c>
      <c r="S59" s="2"/>
      <c r="T59" s="7">
        <v>2000</v>
      </c>
      <c r="U59" s="2"/>
      <c r="V59" s="8">
        <f t="shared" si="49"/>
        <v>0.42382399437161739</v>
      </c>
      <c r="W59" s="2"/>
      <c r="X59" s="7">
        <f t="shared" si="50"/>
        <v>-2000</v>
      </c>
      <c r="Y59" s="2"/>
      <c r="Z59" s="8">
        <f t="shared" si="51"/>
        <v>-1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7">
        <v>10898.06</v>
      </c>
      <c r="E60" s="2"/>
      <c r="F60" s="8">
        <f t="shared" si="44"/>
        <v>0.29521221410108672</v>
      </c>
      <c r="G60" s="2"/>
      <c r="H60" s="7">
        <v>3155.58</v>
      </c>
      <c r="I60" s="2"/>
      <c r="J60" s="8">
        <f t="shared" si="45"/>
        <v>0.66870526007959419</v>
      </c>
      <c r="K60" s="2"/>
      <c r="L60" s="7">
        <f t="shared" si="46"/>
        <v>7742.48</v>
      </c>
      <c r="M60" s="2"/>
      <c r="N60" s="8">
        <f t="shared" si="47"/>
        <v>2.4535838102662586</v>
      </c>
      <c r="O60" s="11"/>
      <c r="P60" s="7">
        <v>14657.45</v>
      </c>
      <c r="Q60" s="2"/>
      <c r="R60" s="8">
        <f t="shared" si="48"/>
        <v>0.25888170845024927</v>
      </c>
      <c r="S60" s="2"/>
      <c r="T60" s="7">
        <v>3155.58</v>
      </c>
      <c r="U60" s="2"/>
      <c r="V60" s="8">
        <f t="shared" si="49"/>
        <v>0.66870526007959419</v>
      </c>
      <c r="W60" s="2"/>
      <c r="X60" s="7">
        <f t="shared" si="50"/>
        <v>11501.87</v>
      </c>
      <c r="Y60" s="2"/>
      <c r="Z60" s="8">
        <f t="shared" si="51"/>
        <v>3.6449305674392667</v>
      </c>
    </row>
    <row r="61" spans="1:26" s="24" customFormat="1" hidden="1" outlineLevel="2" x14ac:dyDescent="0.3">
      <c r="A61" s="27"/>
      <c r="B61" s="11" t="str">
        <f>CONCATENATE("          ", "6286", " - ", "LAUNDRY EXPENSE")</f>
        <v xml:space="preserve">          6286 - LAUNDRY EXPENSE</v>
      </c>
      <c r="C61" s="11"/>
      <c r="D61" s="7">
        <v>159.74</v>
      </c>
      <c r="E61" s="2"/>
      <c r="F61" s="8">
        <f t="shared" si="44"/>
        <v>4.3271186872257637E-3</v>
      </c>
      <c r="G61" s="2"/>
      <c r="H61" s="7">
        <v>147.71</v>
      </c>
      <c r="I61" s="2"/>
      <c r="J61" s="8">
        <f t="shared" si="45"/>
        <v>3.1301521104315805E-2</v>
      </c>
      <c r="K61" s="2"/>
      <c r="L61" s="7">
        <f t="shared" si="46"/>
        <v>12.030000000000001</v>
      </c>
      <c r="M61" s="2"/>
      <c r="N61" s="8">
        <f t="shared" si="47"/>
        <v>8.1443368763116919E-2</v>
      </c>
      <c r="O61" s="11"/>
      <c r="P61" s="7">
        <v>319.48</v>
      </c>
      <c r="Q61" s="2"/>
      <c r="R61" s="8">
        <f t="shared" si="48"/>
        <v>5.6426955722643181E-3</v>
      </c>
      <c r="S61" s="2"/>
      <c r="T61" s="7">
        <v>147.71</v>
      </c>
      <c r="U61" s="2"/>
      <c r="V61" s="8">
        <f t="shared" si="49"/>
        <v>3.1301521104315805E-2</v>
      </c>
      <c r="W61" s="2"/>
      <c r="X61" s="7">
        <f t="shared" si="50"/>
        <v>171.77</v>
      </c>
      <c r="Y61" s="2"/>
      <c r="Z61" s="8">
        <f t="shared" si="51"/>
        <v>1.1628867375262339</v>
      </c>
    </row>
    <row r="62" spans="1:26" s="28" customFormat="1" outlineLevel="1" collapsed="1" x14ac:dyDescent="0.3">
      <c r="A62" s="29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593.59</v>
      </c>
      <c r="E62" s="1"/>
      <c r="F62" s="5">
        <f t="shared" ref="F62:F70" si="52">IF(D$12=0,0,D62/D$12)</f>
        <v>1.6079469021850135E-2</v>
      </c>
      <c r="G62" s="1"/>
      <c r="H62" s="1">
        <f>SUM(OSRRefH22_12x_0)</f>
        <v>0</v>
      </c>
      <c r="I62" s="1"/>
      <c r="J62" s="5">
        <f t="shared" ref="J62:J70" si="53">IF(H$12=0,0,H62/H$12)</f>
        <v>0</v>
      </c>
      <c r="K62" s="1"/>
      <c r="L62" s="1">
        <f t="shared" ref="L62:L70" si="54">+D62-H62</f>
        <v>593.59</v>
      </c>
      <c r="M62" s="1"/>
      <c r="N62" s="5">
        <f t="shared" ref="N62:N70" si="55">IF(H62=0,0,L62/H62)</f>
        <v>0</v>
      </c>
      <c r="O62" s="14"/>
      <c r="P62" s="1">
        <f>SUM(OSRRefP22_12x_0)</f>
        <v>724.26</v>
      </c>
      <c r="Q62" s="1"/>
      <c r="R62" s="5">
        <f t="shared" ref="R62:R70" si="56">IF(P$12=0,0,P62/P$12)</f>
        <v>1.2791970374258653E-2</v>
      </c>
      <c r="S62" s="1"/>
      <c r="T62" s="1">
        <f>SUM(OSRRefT22_12x_0)</f>
        <v>9.32</v>
      </c>
      <c r="U62" s="1"/>
      <c r="V62" s="5">
        <f t="shared" ref="V62:V70" si="57">IF(T$12=0,0,T62/T$12)</f>
        <v>1.9750198137717372E-3</v>
      </c>
      <c r="W62" s="1"/>
      <c r="X62" s="1">
        <f t="shared" ref="X62:X70" si="58">+P62-T62</f>
        <v>714.93999999999994</v>
      </c>
      <c r="Y62" s="1"/>
      <c r="Z62" s="5">
        <f t="shared" ref="Z62:Z70" si="59">IF(T62=0,0,X62/T62)</f>
        <v>76.710300429184542</v>
      </c>
    </row>
    <row r="63" spans="1:26" s="24" customFormat="1" hidden="1" outlineLevel="2" x14ac:dyDescent="0.3">
      <c r="A63" s="27"/>
      <c r="B63" s="11" t="str">
        <f>CONCATENATE("          ", "6275", " - ", "SUBSCRIPTIONS")</f>
        <v xml:space="preserve">          6275 - SUBSCRIPTIONS</v>
      </c>
      <c r="C63" s="11"/>
      <c r="D63" s="7">
        <v>593.59</v>
      </c>
      <c r="E63" s="2"/>
      <c r="F63" s="8">
        <f t="shared" si="52"/>
        <v>1.6079469021850135E-2</v>
      </c>
      <c r="G63" s="2"/>
      <c r="H63" s="7"/>
      <c r="I63" s="2"/>
      <c r="J63" s="8">
        <f t="shared" si="53"/>
        <v>0</v>
      </c>
      <c r="K63" s="2"/>
      <c r="L63" s="7">
        <f t="shared" si="54"/>
        <v>593.59</v>
      </c>
      <c r="M63" s="2"/>
      <c r="N63" s="8">
        <f t="shared" si="55"/>
        <v>0</v>
      </c>
      <c r="O63" s="11"/>
      <c r="P63" s="7">
        <v>724.26</v>
      </c>
      <c r="Q63" s="2"/>
      <c r="R63" s="8">
        <f t="shared" si="56"/>
        <v>1.2791970374258653E-2</v>
      </c>
      <c r="S63" s="2"/>
      <c r="T63" s="7">
        <v>9.32</v>
      </c>
      <c r="U63" s="2"/>
      <c r="V63" s="8">
        <f t="shared" si="57"/>
        <v>1.9750198137717372E-3</v>
      </c>
      <c r="W63" s="2"/>
      <c r="X63" s="7">
        <f t="shared" si="58"/>
        <v>714.93999999999994</v>
      </c>
      <c r="Y63" s="2"/>
      <c r="Z63" s="8">
        <f t="shared" si="59"/>
        <v>76.710300429184542</v>
      </c>
    </row>
    <row r="64" spans="1:26" s="28" customFormat="1" outlineLevel="1" collapsed="1" x14ac:dyDescent="0.3">
      <c r="A64" s="29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1112.1500000000001</v>
      </c>
      <c r="E64" s="1"/>
      <c r="F64" s="5">
        <f t="shared" si="52"/>
        <v>3.0126487091512038E-2</v>
      </c>
      <c r="G64" s="1"/>
      <c r="H64" s="1">
        <f>SUM(OSRRefH22_13x_0)</f>
        <v>541.92999999999995</v>
      </c>
      <c r="I64" s="1"/>
      <c r="J64" s="5">
        <f t="shared" si="53"/>
        <v>0.1148414686349053</v>
      </c>
      <c r="K64" s="1"/>
      <c r="L64" s="1">
        <f t="shared" si="54"/>
        <v>570.22000000000014</v>
      </c>
      <c r="M64" s="1"/>
      <c r="N64" s="5">
        <f t="shared" si="55"/>
        <v>1.0522023139519867</v>
      </c>
      <c r="O64" s="14"/>
      <c r="P64" s="1">
        <f>SUM(OSRRefP22_13x_0)</f>
        <v>2320.73</v>
      </c>
      <c r="Q64" s="1"/>
      <c r="R64" s="5">
        <f t="shared" si="56"/>
        <v>4.0989022459687524E-2</v>
      </c>
      <c r="S64" s="1"/>
      <c r="T64" s="1">
        <f>SUM(OSRRefT22_13x_0)</f>
        <v>1084.3699999999999</v>
      </c>
      <c r="U64" s="1"/>
      <c r="V64" s="5">
        <f t="shared" si="57"/>
        <v>0.22979101238837535</v>
      </c>
      <c r="W64" s="1"/>
      <c r="X64" s="1">
        <f t="shared" si="58"/>
        <v>1236.3600000000001</v>
      </c>
      <c r="Y64" s="1"/>
      <c r="Z64" s="5">
        <f t="shared" si="59"/>
        <v>1.1401643350516892</v>
      </c>
    </row>
    <row r="65" spans="1:26" s="24" customFormat="1" hidden="1" outlineLevel="2" x14ac:dyDescent="0.3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7"/>
      <c r="E65" s="2"/>
      <c r="F65" s="8">
        <f t="shared" si="52"/>
        <v>0</v>
      </c>
      <c r="G65" s="2"/>
      <c r="H65" s="7">
        <v>255.78</v>
      </c>
      <c r="I65" s="2"/>
      <c r="J65" s="8">
        <f t="shared" si="53"/>
        <v>5.4202850640186151E-2</v>
      </c>
      <c r="K65" s="2"/>
      <c r="L65" s="7">
        <f t="shared" si="54"/>
        <v>-255.78</v>
      </c>
      <c r="M65" s="2"/>
      <c r="N65" s="8">
        <f t="shared" si="55"/>
        <v>-1</v>
      </c>
      <c r="O65" s="11"/>
      <c r="P65" s="7"/>
      <c r="Q65" s="2"/>
      <c r="R65" s="8">
        <f t="shared" si="56"/>
        <v>0</v>
      </c>
      <c r="S65" s="2"/>
      <c r="T65" s="7">
        <v>255.78</v>
      </c>
      <c r="U65" s="2"/>
      <c r="V65" s="8">
        <f t="shared" si="57"/>
        <v>5.4202850640186151E-2</v>
      </c>
      <c r="W65" s="2"/>
      <c r="X65" s="7">
        <f t="shared" si="58"/>
        <v>-255.78</v>
      </c>
      <c r="Y65" s="2"/>
      <c r="Z65" s="8">
        <f t="shared" si="59"/>
        <v>-1</v>
      </c>
    </row>
    <row r="66" spans="1:26" s="24" customFormat="1" hidden="1" outlineLevel="2" x14ac:dyDescent="0.3">
      <c r="A66" s="27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8">
        <f t="shared" si="52"/>
        <v>0</v>
      </c>
      <c r="G66" s="2"/>
      <c r="H66" s="7">
        <v>286.14999999999998</v>
      </c>
      <c r="I66" s="2"/>
      <c r="J66" s="8">
        <f t="shared" si="53"/>
        <v>6.0638617994719153E-2</v>
      </c>
      <c r="K66" s="2"/>
      <c r="L66" s="7">
        <f t="shared" si="54"/>
        <v>-286.14999999999998</v>
      </c>
      <c r="M66" s="2"/>
      <c r="N66" s="8">
        <f t="shared" si="55"/>
        <v>-1</v>
      </c>
      <c r="O66" s="11"/>
      <c r="P66" s="7"/>
      <c r="Q66" s="2"/>
      <c r="R66" s="8">
        <f t="shared" si="56"/>
        <v>0</v>
      </c>
      <c r="S66" s="2"/>
      <c r="T66" s="7">
        <v>821.97</v>
      </c>
      <c r="U66" s="2"/>
      <c r="V66" s="8">
        <f t="shared" si="57"/>
        <v>0.17418530432681917</v>
      </c>
      <c r="W66" s="2"/>
      <c r="X66" s="7">
        <f t="shared" si="58"/>
        <v>-821.97</v>
      </c>
      <c r="Y66" s="2"/>
      <c r="Z66" s="8">
        <f t="shared" si="59"/>
        <v>-1</v>
      </c>
    </row>
    <row r="67" spans="1:26" s="24" customFormat="1" hidden="1" outlineLevel="2" x14ac:dyDescent="0.3">
      <c r="A67" s="27"/>
      <c r="B67" s="11" t="str">
        <f>CONCATENATE("          ", "6237", " - ", "JANITORIAL SUPPLIES")</f>
        <v xml:space="preserve">          6237 - JANITORIAL SUPPLIES</v>
      </c>
      <c r="C67" s="11"/>
      <c r="D67" s="7">
        <v>200.36</v>
      </c>
      <c r="E67" s="2"/>
      <c r="F67" s="8">
        <f t="shared" si="52"/>
        <v>5.4274539888102789E-3</v>
      </c>
      <c r="G67" s="2"/>
      <c r="H67" s="7"/>
      <c r="I67" s="2"/>
      <c r="J67" s="8">
        <f t="shared" si="53"/>
        <v>0</v>
      </c>
      <c r="K67" s="2"/>
      <c r="L67" s="7">
        <f t="shared" si="54"/>
        <v>200.36</v>
      </c>
      <c r="M67" s="2"/>
      <c r="N67" s="8">
        <f t="shared" si="55"/>
        <v>0</v>
      </c>
      <c r="O67" s="11"/>
      <c r="P67" s="7">
        <v>1202.53</v>
      </c>
      <c r="Q67" s="2"/>
      <c r="R67" s="8">
        <f t="shared" si="56"/>
        <v>2.1239234714270094E-2</v>
      </c>
      <c r="S67" s="2"/>
      <c r="T67" s="7"/>
      <c r="U67" s="2"/>
      <c r="V67" s="8">
        <f t="shared" si="57"/>
        <v>0</v>
      </c>
      <c r="W67" s="2"/>
      <c r="X67" s="7">
        <f t="shared" si="58"/>
        <v>1202.53</v>
      </c>
      <c r="Y67" s="2"/>
      <c r="Z67" s="8">
        <f t="shared" si="59"/>
        <v>0</v>
      </c>
    </row>
    <row r="68" spans="1:26" s="24" customFormat="1" hidden="1" outlineLevel="2" x14ac:dyDescent="0.3">
      <c r="A68" s="27"/>
      <c r="B68" s="11" t="str">
        <f>CONCATENATE("          ", "6239", " - ", "KITCHEN SUPPLIES")</f>
        <v xml:space="preserve">          6239 - KITCHEN SUPPLIES</v>
      </c>
      <c r="C68" s="11"/>
      <c r="D68" s="7">
        <v>148.97999999999999</v>
      </c>
      <c r="E68" s="2"/>
      <c r="F68" s="8">
        <f t="shared" si="52"/>
        <v>4.0356463129015531E-3</v>
      </c>
      <c r="G68" s="2"/>
      <c r="H68" s="7"/>
      <c r="I68" s="2"/>
      <c r="J68" s="8">
        <f t="shared" si="53"/>
        <v>0</v>
      </c>
      <c r="K68" s="2"/>
      <c r="L68" s="7">
        <f t="shared" si="54"/>
        <v>148.97999999999999</v>
      </c>
      <c r="M68" s="2"/>
      <c r="N68" s="8">
        <f t="shared" si="55"/>
        <v>0</v>
      </c>
      <c r="O68" s="11"/>
      <c r="P68" s="7">
        <v>181.01</v>
      </c>
      <c r="Q68" s="2"/>
      <c r="R68" s="8">
        <f t="shared" si="56"/>
        <v>3.1970211767107927E-3</v>
      </c>
      <c r="S68" s="2"/>
      <c r="T68" s="7"/>
      <c r="U68" s="2"/>
      <c r="V68" s="8">
        <f t="shared" si="57"/>
        <v>0</v>
      </c>
      <c r="W68" s="2"/>
      <c r="X68" s="7">
        <f t="shared" si="58"/>
        <v>181.01</v>
      </c>
      <c r="Y68" s="2"/>
      <c r="Z68" s="8">
        <f t="shared" si="59"/>
        <v>0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7">
        <v>441.96</v>
      </c>
      <c r="E69" s="2"/>
      <c r="F69" s="8">
        <f t="shared" si="52"/>
        <v>1.1972038155792526E-2</v>
      </c>
      <c r="G69" s="2"/>
      <c r="H69" s="7">
        <v>0</v>
      </c>
      <c r="I69" s="2"/>
      <c r="J69" s="8">
        <f t="shared" si="53"/>
        <v>0</v>
      </c>
      <c r="K69" s="2"/>
      <c r="L69" s="7">
        <f t="shared" si="54"/>
        <v>441.96</v>
      </c>
      <c r="M69" s="2"/>
      <c r="N69" s="8">
        <f t="shared" si="55"/>
        <v>0</v>
      </c>
      <c r="O69" s="11"/>
      <c r="P69" s="7">
        <v>450.96</v>
      </c>
      <c r="Q69" s="2"/>
      <c r="R69" s="8">
        <f t="shared" si="56"/>
        <v>7.9649117167532139E-3</v>
      </c>
      <c r="S69" s="2"/>
      <c r="T69" s="7">
        <v>6.62</v>
      </c>
      <c r="U69" s="2"/>
      <c r="V69" s="8">
        <f t="shared" si="57"/>
        <v>1.4028574213700536E-3</v>
      </c>
      <c r="W69" s="2"/>
      <c r="X69" s="7">
        <f t="shared" si="58"/>
        <v>444.34</v>
      </c>
      <c r="Y69" s="2"/>
      <c r="Z69" s="8">
        <f t="shared" si="59"/>
        <v>67.12084592145014</v>
      </c>
    </row>
    <row r="70" spans="1:26" s="24" customFormat="1" hidden="1" outlineLevel="2" x14ac:dyDescent="0.3">
      <c r="A70" s="27"/>
      <c r="B70" s="11" t="str">
        <f>CONCATENATE("          ", "6243", " - ", "PAPER SUPPLIES")</f>
        <v xml:space="preserve">          6243 - PAPER SUPPLIES</v>
      </c>
      <c r="C70" s="11"/>
      <c r="D70" s="7">
        <v>320.85000000000002</v>
      </c>
      <c r="E70" s="2"/>
      <c r="F70" s="8">
        <f t="shared" si="52"/>
        <v>8.691348634007676E-3</v>
      </c>
      <c r="G70" s="2"/>
      <c r="H70" s="7"/>
      <c r="I70" s="2"/>
      <c r="J70" s="8">
        <f t="shared" si="53"/>
        <v>0</v>
      </c>
      <c r="K70" s="2"/>
      <c r="L70" s="7">
        <f t="shared" si="54"/>
        <v>320.85000000000002</v>
      </c>
      <c r="M70" s="2"/>
      <c r="N70" s="8">
        <f t="shared" si="55"/>
        <v>0</v>
      </c>
      <c r="O70" s="11"/>
      <c r="P70" s="7">
        <v>486.23</v>
      </c>
      <c r="Q70" s="2"/>
      <c r="R70" s="8">
        <f t="shared" si="56"/>
        <v>8.5878548519534217E-3</v>
      </c>
      <c r="S70" s="2"/>
      <c r="T70" s="7"/>
      <c r="U70" s="2"/>
      <c r="V70" s="8">
        <f t="shared" si="57"/>
        <v>0</v>
      </c>
      <c r="W70" s="2"/>
      <c r="X70" s="7">
        <f t="shared" si="58"/>
        <v>486.23</v>
      </c>
      <c r="Y70" s="2"/>
      <c r="Z70" s="8">
        <f t="shared" si="59"/>
        <v>0</v>
      </c>
    </row>
    <row r="71" spans="1:26" s="28" customFormat="1" outlineLevel="1" collapsed="1" x14ac:dyDescent="0.3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232</v>
      </c>
      <c r="E71" s="1"/>
      <c r="F71" s="5">
        <f t="shared" ref="F71:F74" si="60">IF(D$12=0,0,D71/D$12)</f>
        <v>6.2845344649829537E-3</v>
      </c>
      <c r="G71" s="1"/>
      <c r="H71" s="1">
        <f>SUM(OSRRefH22_14x_0)</f>
        <v>232</v>
      </c>
      <c r="I71" s="1"/>
      <c r="J71" s="5">
        <f t="shared" ref="J71:J74" si="61">IF(H$12=0,0,H71/H$12)</f>
        <v>4.9163583347107617E-2</v>
      </c>
      <c r="K71" s="1"/>
      <c r="L71" s="1">
        <f t="shared" ref="L71:L74" si="62">+D71-H71</f>
        <v>0</v>
      </c>
      <c r="M71" s="1"/>
      <c r="N71" s="5">
        <f t="shared" ref="N71:N74" si="63">IF(H71=0,0,L71/H71)</f>
        <v>0</v>
      </c>
      <c r="O71" s="14"/>
      <c r="P71" s="1">
        <f>SUM(OSRRefP22_14x_0)</f>
        <v>539</v>
      </c>
      <c r="Q71" s="1"/>
      <c r="R71" s="5">
        <f t="shared" ref="R71:R74" si="64">IF(P$12=0,0,P71/P$12)</f>
        <v>9.519885167930597E-3</v>
      </c>
      <c r="S71" s="1"/>
      <c r="T71" s="1">
        <f>SUM(OSRRefT22_14x_0)</f>
        <v>464</v>
      </c>
      <c r="U71" s="1"/>
      <c r="V71" s="5">
        <f t="shared" ref="V71:V74" si="65">IF(T$12=0,0,T71/T$12)</f>
        <v>9.8327166694215234E-2</v>
      </c>
      <c r="W71" s="1"/>
      <c r="X71" s="1">
        <f t="shared" ref="X71:X74" si="66">+P71-T71</f>
        <v>75</v>
      </c>
      <c r="Y71" s="1"/>
      <c r="Z71" s="5">
        <f t="shared" ref="Z71:Z74" si="67">IF(T71=0,0,X71/T71)</f>
        <v>0.16163793103448276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7">
        <v>232</v>
      </c>
      <c r="E72" s="2"/>
      <c r="F72" s="8">
        <f t="shared" si="60"/>
        <v>6.2845344649829537E-3</v>
      </c>
      <c r="G72" s="2"/>
      <c r="H72" s="7">
        <v>232</v>
      </c>
      <c r="I72" s="2"/>
      <c r="J72" s="8">
        <f t="shared" si="61"/>
        <v>4.9163583347107617E-2</v>
      </c>
      <c r="K72" s="2"/>
      <c r="L72" s="7">
        <f t="shared" si="62"/>
        <v>0</v>
      </c>
      <c r="M72" s="2"/>
      <c r="N72" s="8">
        <f t="shared" si="63"/>
        <v>0</v>
      </c>
      <c r="O72" s="11"/>
      <c r="P72" s="7">
        <v>539</v>
      </c>
      <c r="Q72" s="2"/>
      <c r="R72" s="8">
        <f t="shared" si="64"/>
        <v>9.519885167930597E-3</v>
      </c>
      <c r="S72" s="2"/>
      <c r="T72" s="7">
        <v>464</v>
      </c>
      <c r="U72" s="2"/>
      <c r="V72" s="8">
        <f t="shared" si="65"/>
        <v>9.8327166694215234E-2</v>
      </c>
      <c r="W72" s="2"/>
      <c r="X72" s="7">
        <f t="shared" si="66"/>
        <v>75</v>
      </c>
      <c r="Y72" s="2"/>
      <c r="Z72" s="8">
        <f t="shared" si="67"/>
        <v>0.16163793103448276</v>
      </c>
    </row>
    <row r="73" spans="1:26" s="28" customFormat="1" outlineLevel="1" collapsed="1" x14ac:dyDescent="0.3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SUM(OSRRefD22_15x_0)</f>
        <v>2400</v>
      </c>
      <c r="E73" s="1"/>
      <c r="F73" s="5">
        <f t="shared" si="60"/>
        <v>6.5012425499823653E-2</v>
      </c>
      <c r="G73" s="1"/>
      <c r="H73" s="1">
        <f>SUM(OSRRefH22_15x_0)</f>
        <v>2300</v>
      </c>
      <c r="I73" s="1"/>
      <c r="J73" s="5">
        <f t="shared" si="61"/>
        <v>0.48739759352736001</v>
      </c>
      <c r="K73" s="1"/>
      <c r="L73" s="1">
        <f t="shared" si="62"/>
        <v>100</v>
      </c>
      <c r="M73" s="1"/>
      <c r="N73" s="5">
        <f t="shared" si="63"/>
        <v>4.3478260869565216E-2</v>
      </c>
      <c r="O73" s="14"/>
      <c r="P73" s="1">
        <f>SUM(OSRRefP22_15x_0)</f>
        <v>4800</v>
      </c>
      <c r="Q73" s="1"/>
      <c r="R73" s="5">
        <f t="shared" si="64"/>
        <v>8.477819815596821E-2</v>
      </c>
      <c r="S73" s="1"/>
      <c r="T73" s="1">
        <f>SUM(OSRRefT22_15x_0)</f>
        <v>4600</v>
      </c>
      <c r="U73" s="1"/>
      <c r="V73" s="5">
        <f t="shared" si="65"/>
        <v>0.97479518705472001</v>
      </c>
      <c r="W73" s="1"/>
      <c r="X73" s="1">
        <f t="shared" si="66"/>
        <v>200</v>
      </c>
      <c r="Y73" s="1"/>
      <c r="Z73" s="5">
        <f t="shared" si="67"/>
        <v>4.3478260869565216E-2</v>
      </c>
    </row>
    <row r="74" spans="1:26" s="24" customFormat="1" hidden="1" outlineLevel="2" x14ac:dyDescent="0.3">
      <c r="A74" s="27"/>
      <c r="B74" s="11" t="str">
        <f>CONCATENATE("          ", "6274", " - ", "UTILITIES")</f>
        <v xml:space="preserve">          6274 - UTILITIES</v>
      </c>
      <c r="C74" s="11"/>
      <c r="D74" s="7">
        <v>2400</v>
      </c>
      <c r="E74" s="2"/>
      <c r="F74" s="8">
        <f t="shared" si="60"/>
        <v>6.5012425499823653E-2</v>
      </c>
      <c r="G74" s="2"/>
      <c r="H74" s="7">
        <v>2300</v>
      </c>
      <c r="I74" s="2"/>
      <c r="J74" s="8">
        <f t="shared" si="61"/>
        <v>0.48739759352736001</v>
      </c>
      <c r="K74" s="2"/>
      <c r="L74" s="7">
        <f t="shared" si="62"/>
        <v>100</v>
      </c>
      <c r="M74" s="2"/>
      <c r="N74" s="8">
        <f t="shared" si="63"/>
        <v>4.3478260869565216E-2</v>
      </c>
      <c r="O74" s="11"/>
      <c r="P74" s="7">
        <v>4800</v>
      </c>
      <c r="Q74" s="2"/>
      <c r="R74" s="8">
        <f t="shared" si="64"/>
        <v>8.477819815596821E-2</v>
      </c>
      <c r="S74" s="2"/>
      <c r="T74" s="7">
        <v>4600</v>
      </c>
      <c r="U74" s="2"/>
      <c r="V74" s="8">
        <f t="shared" si="65"/>
        <v>0.97479518705472001</v>
      </c>
      <c r="W74" s="2"/>
      <c r="X74" s="7">
        <f t="shared" si="66"/>
        <v>200</v>
      </c>
      <c r="Y74" s="2"/>
      <c r="Z74" s="8">
        <f t="shared" si="67"/>
        <v>4.3478260869565216E-2</v>
      </c>
    </row>
    <row r="75" spans="1:26" s="61" customFormat="1" x14ac:dyDescent="0.3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3">
      <c r="A76" s="10"/>
      <c r="B76" s="26" t="s">
        <v>292</v>
      </c>
      <c r="C76" s="10"/>
      <c r="D76" s="4">
        <f>SUM(OSRRefD25x_0)</f>
        <v>0</v>
      </c>
      <c r="E76" s="4"/>
      <c r="F76" s="12">
        <f t="shared" ref="F76:F77" si="68">IF(D$12=0,0,D76/D$12)</f>
        <v>0</v>
      </c>
      <c r="G76" s="4"/>
      <c r="H76" s="4">
        <f>SUM(OSRRefH25x_0)</f>
        <v>0</v>
      </c>
      <c r="I76" s="4"/>
      <c r="J76" s="12">
        <f t="shared" ref="J76:J77" si="69">IF(H$12=0,0,H76/H$12)</f>
        <v>0</v>
      </c>
      <c r="K76" s="4"/>
      <c r="L76" s="4">
        <f t="shared" ref="L76:L77" si="70">+D76-H76</f>
        <v>0</v>
      </c>
      <c r="M76" s="4"/>
      <c r="N76" s="12">
        <f t="shared" ref="N76:N77" si="71">IF(H76=0,0,L76/H76)</f>
        <v>0</v>
      </c>
      <c r="O76" s="10"/>
      <c r="P76" s="4">
        <f>SUM(OSRRefP25x_0)</f>
        <v>2.33</v>
      </c>
      <c r="Q76" s="4"/>
      <c r="R76" s="12">
        <f t="shared" ref="R76:R77" si="72">IF(P$12=0,0,P76/P$12)</f>
        <v>4.1152750354876237E-5</v>
      </c>
      <c r="S76" s="4"/>
      <c r="T76" s="4">
        <f>SUM(OSRRefT25x_0)</f>
        <v>0</v>
      </c>
      <c r="U76" s="4"/>
      <c r="V76" s="12">
        <f t="shared" ref="V76:V77" si="73">IF(T$12=0,0,T76/T$12)</f>
        <v>0</v>
      </c>
      <c r="W76" s="4"/>
      <c r="X76" s="4">
        <f t="shared" ref="X76:X77" si="74">+P76-T76</f>
        <v>2.33</v>
      </c>
      <c r="Y76" s="4"/>
      <c r="Z76" s="12">
        <f t="shared" ref="Z76:Z77" si="75">IF(T76=0,0,X76/T76)</f>
        <v>0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>0</f>
        <v>0</v>
      </c>
      <c r="E77" s="2"/>
      <c r="F77" s="19">
        <f t="shared" si="68"/>
        <v>0</v>
      </c>
      <c r="G77" s="2"/>
      <c r="H77" s="2">
        <f>0</f>
        <v>0</v>
      </c>
      <c r="I77" s="2"/>
      <c r="J77" s="19">
        <f t="shared" si="69"/>
        <v>0</v>
      </c>
      <c r="K77" s="2"/>
      <c r="L77" s="2">
        <f t="shared" si="70"/>
        <v>0</v>
      </c>
      <c r="M77" s="2"/>
      <c r="N77" s="19">
        <f t="shared" si="71"/>
        <v>0</v>
      </c>
      <c r="O77" s="11"/>
      <c r="P77" s="2">
        <f>--2.33</f>
        <v>2.33</v>
      </c>
      <c r="Q77" s="2"/>
      <c r="R77" s="19">
        <f t="shared" si="72"/>
        <v>4.1152750354876237E-5</v>
      </c>
      <c r="S77" s="2"/>
      <c r="T77" s="2">
        <f>0</f>
        <v>0</v>
      </c>
      <c r="U77" s="2"/>
      <c r="V77" s="19">
        <f t="shared" si="73"/>
        <v>0</v>
      </c>
      <c r="W77" s="2"/>
      <c r="X77" s="2">
        <f t="shared" si="74"/>
        <v>2.33</v>
      </c>
      <c r="Y77" s="2"/>
      <c r="Z77" s="19">
        <f t="shared" si="75"/>
        <v>0</v>
      </c>
    </row>
    <row r="78" spans="1:26" x14ac:dyDescent="0.3">
      <c r="A78" s="9"/>
      <c r="B78" s="10"/>
      <c r="C78" s="10"/>
      <c r="D78" s="3"/>
      <c r="E78" s="3"/>
      <c r="F78" s="6"/>
      <c r="G78" s="3"/>
      <c r="H78" s="3"/>
      <c r="I78" s="3"/>
      <c r="J78" s="6"/>
      <c r="K78" s="3"/>
      <c r="L78" s="3"/>
      <c r="M78" s="3"/>
      <c r="N78" s="6"/>
      <c r="O78" s="10"/>
      <c r="P78" s="3"/>
      <c r="Q78" s="3"/>
      <c r="R78" s="6"/>
      <c r="S78" s="3"/>
      <c r="T78" s="3"/>
      <c r="U78" s="3"/>
      <c r="V78" s="6"/>
      <c r="W78" s="3"/>
      <c r="X78" s="3"/>
      <c r="Y78" s="3"/>
      <c r="Z78" s="6"/>
    </row>
    <row r="79" spans="1:26" s="23" customFormat="1" x14ac:dyDescent="0.3">
      <c r="A79" s="10"/>
      <c r="B79" s="25" t="s">
        <v>276</v>
      </c>
      <c r="C79" s="25"/>
      <c r="D79" s="20">
        <f>+D20-D22+D76</f>
        <v>-51299.930000000022</v>
      </c>
      <c r="E79" s="13"/>
      <c r="F79" s="22">
        <f>IF(D$12=0,0,D79/D$12)</f>
        <v>-1.3896386988629876</v>
      </c>
      <c r="G79" s="13"/>
      <c r="H79" s="20">
        <f>+H20-H22+H76</f>
        <v>-67308.87</v>
      </c>
      <c r="I79" s="13"/>
      <c r="J79" s="22">
        <f>IF(H$12=0,0,H79/H$12)</f>
        <v>-14.263557070019962</v>
      </c>
      <c r="K79" s="15"/>
      <c r="L79" s="20">
        <f>+D79-H79</f>
        <v>16008.939999999973</v>
      </c>
      <c r="M79" s="15"/>
      <c r="N79" s="22">
        <f>IF(H79=0,0,L79/H79)</f>
        <v>-0.23784294699940697</v>
      </c>
      <c r="O79" s="26"/>
      <c r="P79" s="20">
        <f>+P20-P22+P76</f>
        <v>-97710.540000000023</v>
      </c>
      <c r="Q79" s="13"/>
      <c r="R79" s="22">
        <f>IF(P$12=0,0,P79/P$12)</f>
        <v>-1.7257757337597208</v>
      </c>
      <c r="S79" s="13"/>
      <c r="T79" s="20">
        <f>+T20-T22+T76</f>
        <v>-123965.71</v>
      </c>
      <c r="U79" s="13"/>
      <c r="V79" s="22">
        <f>IF(T$12=0,0,T79/T$12)</f>
        <v>-26.269821188656778</v>
      </c>
      <c r="W79" s="15"/>
      <c r="X79" s="20">
        <f>+P79-T79</f>
        <v>26255.169999999984</v>
      </c>
      <c r="Y79" s="15"/>
      <c r="Z79" s="22">
        <f>IF(T79=0,0,X79/T79)</f>
        <v>-0.21179380975593962</v>
      </c>
    </row>
    <row r="80" spans="1:26" x14ac:dyDescent="0.3">
      <c r="A80" s="9"/>
      <c r="B80" s="10"/>
      <c r="C80" s="9"/>
      <c r="D80" s="3"/>
      <c r="E80" s="3"/>
      <c r="F80" s="6"/>
      <c r="G80" s="3"/>
      <c r="H80" s="3"/>
      <c r="I80" s="3"/>
      <c r="J80" s="6"/>
      <c r="K80" s="3"/>
      <c r="L80" s="3"/>
      <c r="M80" s="3"/>
      <c r="N80" s="6"/>
      <c r="P80" s="3"/>
      <c r="Q80" s="3"/>
      <c r="R80" s="6"/>
      <c r="S80" s="3"/>
      <c r="T80" s="3"/>
      <c r="U80" s="3"/>
      <c r="V80" s="6"/>
      <c r="W80" s="3"/>
      <c r="X80" s="3"/>
      <c r="Y80" s="3"/>
      <c r="Z80" s="6"/>
    </row>
    <row r="81" spans="1:26" s="23" customFormat="1" x14ac:dyDescent="0.3">
      <c r="A81" s="51"/>
      <c r="B81" s="10" t="s">
        <v>127</v>
      </c>
      <c r="C81" s="10"/>
      <c r="D81" s="4">
        <v>-641.74</v>
      </c>
      <c r="E81" s="4"/>
      <c r="F81" s="12">
        <f>IF(D$12=0,0,D81/D$12)</f>
        <v>-1.7383780808440347E-2</v>
      </c>
      <c r="G81" s="4"/>
      <c r="H81" s="4">
        <v>796.73</v>
      </c>
      <c r="I81" s="4"/>
      <c r="J81" s="12">
        <f>IF(H$12=0,0,H81/H$12)</f>
        <v>0.16883664551784935</v>
      </c>
      <c r="K81" s="4"/>
      <c r="L81" s="4">
        <f>+D81-H81</f>
        <v>-1438.47</v>
      </c>
      <c r="M81" s="4"/>
      <c r="N81" s="12">
        <f>IF(H81=0,0,L81/H81)</f>
        <v>-1.8054673477840675</v>
      </c>
      <c r="O81" s="10"/>
      <c r="P81" s="4">
        <v>8460.65</v>
      </c>
      <c r="Q81" s="4"/>
      <c r="R81" s="12">
        <f>IF(P$12=0,0,P81/P$12)</f>
        <v>0.14943305463089426</v>
      </c>
      <c r="S81" s="4"/>
      <c r="T81" s="4">
        <v>796.73</v>
      </c>
      <c r="U81" s="4"/>
      <c r="V81" s="12">
        <f>IF(T$12=0,0,T81/T$12)</f>
        <v>0.16883664551784935</v>
      </c>
      <c r="W81" s="4"/>
      <c r="X81" s="4">
        <f>+P81-T81</f>
        <v>7663.92</v>
      </c>
      <c r="Y81" s="4"/>
      <c r="Z81" s="12">
        <f>IF(T81=0,0,X81/T81)</f>
        <v>9.6192185558470253</v>
      </c>
    </row>
    <row r="82" spans="1:26" x14ac:dyDescent="0.3">
      <c r="A82" s="9"/>
      <c r="B82" s="10"/>
      <c r="C82" s="10"/>
      <c r="D82" s="3"/>
      <c r="E82" s="3"/>
      <c r="F82" s="6"/>
      <c r="G82" s="3"/>
      <c r="H82" s="3"/>
      <c r="I82" s="3"/>
      <c r="J82" s="6"/>
      <c r="K82" s="3"/>
      <c r="L82" s="3"/>
      <c r="M82" s="3"/>
      <c r="N82" s="6"/>
      <c r="O82" s="10"/>
      <c r="P82" s="3"/>
      <c r="Q82" s="3"/>
      <c r="R82" s="6"/>
      <c r="S82" s="3"/>
      <c r="T82" s="3"/>
      <c r="U82" s="3"/>
      <c r="V82" s="6"/>
      <c r="W82" s="3"/>
      <c r="X82" s="3"/>
      <c r="Y82" s="3"/>
      <c r="Z82" s="6"/>
    </row>
    <row r="83" spans="1:26" s="23" customFormat="1" ht="15" thickBot="1" x14ac:dyDescent="0.35">
      <c r="A83" s="10"/>
      <c r="B83" s="25" t="s">
        <v>125</v>
      </c>
      <c r="C83" s="25"/>
      <c r="D83" s="33">
        <f>+D79-D81</f>
        <v>-50658.190000000024</v>
      </c>
      <c r="E83" s="13"/>
      <c r="F83" s="36">
        <f>IF(D$12=0,0,D83/D$12)</f>
        <v>-1.3722549180545474</v>
      </c>
      <c r="G83" s="13"/>
      <c r="H83" s="33">
        <f>+H79-H81</f>
        <v>-68105.599999999991</v>
      </c>
      <c r="I83" s="13"/>
      <c r="J83" s="36">
        <f>IF(H$12=0,0,H83/H$12)</f>
        <v>-14.432393715537811</v>
      </c>
      <c r="K83" s="15"/>
      <c r="L83" s="33">
        <f>D83-H83</f>
        <v>17447.409999999967</v>
      </c>
      <c r="M83" s="15"/>
      <c r="N83" s="36">
        <f>IF(H83=0,0,L83/H83)</f>
        <v>-0.25618172367617303</v>
      </c>
      <c r="O83" s="26"/>
      <c r="P83" s="33">
        <f>+P79-P81</f>
        <v>-106171.19000000002</v>
      </c>
      <c r="Q83" s="13"/>
      <c r="R83" s="36">
        <f>IF(P$12=0,0,P83/P$12)</f>
        <v>-1.875208788390615</v>
      </c>
      <c r="S83" s="13"/>
      <c r="T83" s="33">
        <f>+T79-T81</f>
        <v>-124762.44</v>
      </c>
      <c r="U83" s="13"/>
      <c r="V83" s="36">
        <f>IF(T$12=0,0,T83/T$12)</f>
        <v>-26.438657834174627</v>
      </c>
      <c r="W83" s="15"/>
      <c r="X83" s="33">
        <f>P83-T83</f>
        <v>18591.249999999985</v>
      </c>
      <c r="Y83" s="15"/>
      <c r="Z83" s="36">
        <f>IF(T83=0,0,X83/T83)</f>
        <v>-0.149013196599874</v>
      </c>
    </row>
    <row r="84" spans="1:26" ht="15" thickTop="1" x14ac:dyDescent="0.3">
      <c r="A84" s="9"/>
      <c r="B84" s="9"/>
      <c r="C84" s="9"/>
      <c r="D84" s="3"/>
      <c r="E84" s="3"/>
      <c r="F84" s="6"/>
      <c r="G84" s="3"/>
      <c r="H84" s="3"/>
      <c r="I84" s="3"/>
      <c r="J84" s="6"/>
      <c r="K84" s="3"/>
      <c r="L84" s="3"/>
      <c r="M84" s="3"/>
      <c r="N84" s="6"/>
      <c r="P84" s="3"/>
      <c r="Q84" s="3"/>
      <c r="R84" s="6"/>
      <c r="S84" s="3"/>
      <c r="T84" s="3"/>
      <c r="U84" s="3"/>
      <c r="V84" s="6"/>
      <c r="W84" s="3"/>
      <c r="X84" s="3"/>
      <c r="Y84" s="3"/>
      <c r="Z84" s="6"/>
    </row>
    <row r="85" spans="1:26" x14ac:dyDescent="0.3">
      <c r="A85" s="9"/>
      <c r="B85" s="9"/>
      <c r="C85" s="9"/>
      <c r="D85" s="3"/>
      <c r="E85" s="3"/>
      <c r="F85" s="6"/>
      <c r="G85" s="3"/>
      <c r="H85" s="3"/>
      <c r="I85" s="3"/>
      <c r="J85" s="6"/>
      <c r="K85" s="3"/>
      <c r="L85" s="3"/>
      <c r="M85" s="3"/>
      <c r="N85" s="6"/>
      <c r="P85" s="3"/>
      <c r="Q85" s="3"/>
      <c r="R85" s="6"/>
      <c r="S85" s="3"/>
      <c r="T85" s="3"/>
      <c r="U85" s="3"/>
      <c r="V85" s="6"/>
      <c r="W85" s="3"/>
      <c r="X85" s="3"/>
      <c r="Y85" s="3"/>
      <c r="Z85" s="6"/>
    </row>
    <row r="86" spans="1:26" s="23" customFormat="1" ht="15" thickBot="1" x14ac:dyDescent="0.35">
      <c r="A86" s="10"/>
      <c r="B86" s="25" t="s">
        <v>293</v>
      </c>
      <c r="C86" s="25"/>
      <c r="D86" s="30">
        <f>SUM(D83:D85)</f>
        <v>-50658.190000000024</v>
      </c>
      <c r="E86" s="13"/>
      <c r="F86" s="31">
        <f>IF(D$12=0,0,D86/D$12)</f>
        <v>-1.3722549180545474</v>
      </c>
      <c r="G86" s="13"/>
      <c r="H86" s="30">
        <f>SUM(H83:H85)</f>
        <v>-68105.599999999991</v>
      </c>
      <c r="I86" s="13"/>
      <c r="J86" s="31">
        <f>IF(H$12=0,0,H86/H$12)</f>
        <v>-14.432393715537811</v>
      </c>
      <c r="K86" s="15"/>
      <c r="L86" s="30">
        <f>+D86-H86</f>
        <v>17447.409999999967</v>
      </c>
      <c r="M86" s="15"/>
      <c r="N86" s="31">
        <f>IF(H86=0,0,L86/H86)</f>
        <v>-0.25618172367617303</v>
      </c>
      <c r="O86" s="26"/>
      <c r="P86" s="30">
        <f>SUM(P83:P85)</f>
        <v>-106171.19000000002</v>
      </c>
      <c r="Q86" s="13"/>
      <c r="R86" s="31">
        <f>IF(P$12=0,0,P86/P$12)</f>
        <v>-1.875208788390615</v>
      </c>
      <c r="S86" s="13"/>
      <c r="T86" s="30">
        <f>SUM(T83:T85)</f>
        <v>-124762.44</v>
      </c>
      <c r="U86" s="13"/>
      <c r="V86" s="31">
        <f>IF(T$12=0,0,T86/T$12)</f>
        <v>-26.438657834174627</v>
      </c>
      <c r="W86" s="15"/>
      <c r="X86" s="30">
        <f>+P86-T86</f>
        <v>18591.249999999985</v>
      </c>
      <c r="Y86" s="15"/>
      <c r="Z86" s="31">
        <f>IF(T86=0,0,X86/T86)</f>
        <v>-0.149013196599874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9">
        <v>44470.840542939812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A89" s="9"/>
      <c r="B89" s="58" t="s">
        <v>56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3">
      <c r="A90" s="9"/>
      <c r="B90" s="52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3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","418", " - ", "Nugget")</f>
        <v>Department 418 - Nugget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-710.88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-710.88</v>
      </c>
      <c r="M14" s="4"/>
      <c r="N14" s="12">
        <f t="shared" ref="N14:N15" si="3">IF(H14=0,0,L14/H14)</f>
        <v>0</v>
      </c>
      <c r="O14" s="10"/>
      <c r="P14" s="4">
        <f>SUM(OSRRefP16x_0)</f>
        <v>-710.88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-710.88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>
        <v>-710.88</v>
      </c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-710.88</v>
      </c>
      <c r="M15" s="2"/>
      <c r="N15" s="19">
        <f t="shared" si="3"/>
        <v>0</v>
      </c>
      <c r="O15" s="11"/>
      <c r="P15" s="2">
        <v>-710.88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-710.88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D12-D14</f>
        <v>710.88</v>
      </c>
      <c r="E17" s="13"/>
      <c r="F17" s="22">
        <f>IF(D$12=0,0,D17/D$12)</f>
        <v>0</v>
      </c>
      <c r="G17" s="13"/>
      <c r="H17" s="20">
        <f>H12-H14</f>
        <v>0</v>
      </c>
      <c r="I17" s="13"/>
      <c r="J17" s="22">
        <f>IF(H$12=0,0,H17/H$12)</f>
        <v>0</v>
      </c>
      <c r="K17" s="15"/>
      <c r="L17" s="20">
        <f>+D17-H17</f>
        <v>710.88</v>
      </c>
      <c r="M17" s="15"/>
      <c r="N17" s="22">
        <f>IF(H17=0,0,L17/H17)</f>
        <v>0</v>
      </c>
      <c r="O17" s="26"/>
      <c r="P17" s="20">
        <f>P12-P14</f>
        <v>710.88</v>
      </c>
      <c r="Q17" s="13"/>
      <c r="R17" s="22">
        <f>IF(P$12=0,0,P17/P$12)</f>
        <v>0</v>
      </c>
      <c r="S17" s="13"/>
      <c r="T17" s="20">
        <f>T12-T14</f>
        <v>0</v>
      </c>
      <c r="U17" s="13"/>
      <c r="V17" s="22">
        <f>IF(T$12=0,0,T17/T$12)</f>
        <v>0</v>
      </c>
      <c r="W17" s="15"/>
      <c r="X17" s="20">
        <f>+P17-T17</f>
        <v>710.88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25441.589999999997</v>
      </c>
      <c r="E19" s="21"/>
      <c r="F19" s="32">
        <f t="shared" ref="F19:F28" si="8">IF(D$12=0,0,D19/D$12)</f>
        <v>0</v>
      </c>
      <c r="G19" s="21"/>
      <c r="H19" s="21">
        <f>SUM(OSRRefH22x_0)</f>
        <v>7362.1500000000005</v>
      </c>
      <c r="I19" s="21"/>
      <c r="J19" s="32">
        <f t="shared" ref="J19:J28" si="9">IF(H$12=0,0,H19/H$12)</f>
        <v>0</v>
      </c>
      <c r="K19" s="4"/>
      <c r="L19" s="21">
        <f t="shared" ref="L19:L28" si="10">+D19-H19</f>
        <v>18079.439999999995</v>
      </c>
      <c r="M19" s="4"/>
      <c r="N19" s="32">
        <f t="shared" ref="N19:N28" si="11">IF(H19=0,0,L19/H19)</f>
        <v>2.4557282858947445</v>
      </c>
      <c r="O19" s="10"/>
      <c r="P19" s="21">
        <f>SUM(OSRRefP22x_0)</f>
        <v>47202.890000000007</v>
      </c>
      <c r="Q19" s="21"/>
      <c r="R19" s="32">
        <f t="shared" ref="R19:R28" si="12">IF(P$12=0,0,P19/P$12)</f>
        <v>0</v>
      </c>
      <c r="S19" s="21"/>
      <c r="T19" s="21">
        <f>SUM(OSRRefT22x_0)</f>
        <v>24429.62</v>
      </c>
      <c r="U19" s="21"/>
      <c r="V19" s="32">
        <f t="shared" ref="V19:V28" si="13">IF(T$12=0,0,T19/T$12)</f>
        <v>0</v>
      </c>
      <c r="W19" s="4"/>
      <c r="X19" s="21">
        <f t="shared" ref="X19:X28" si="14">+P19-T19</f>
        <v>22773.270000000008</v>
      </c>
      <c r="Y19" s="4"/>
      <c r="Z19" s="32">
        <f t="shared" ref="Z19:Z28" si="15">IF(T19=0,0,X19/T19)</f>
        <v>0.93219910911426407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5331.76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5331.76</v>
      </c>
      <c r="M20" s="1"/>
      <c r="N20" s="5">
        <f t="shared" si="11"/>
        <v>0</v>
      </c>
      <c r="O20" s="14"/>
      <c r="P20" s="1">
        <f>SUM(OSRRefP22_0x_0)</f>
        <v>10339.790000000001</v>
      </c>
      <c r="Q20" s="1"/>
      <c r="R20" s="5">
        <f t="shared" si="12"/>
        <v>0</v>
      </c>
      <c r="S20" s="1"/>
      <c r="T20" s="1">
        <f>SUM(OSRRefT22_0x_0)</f>
        <v>6083.9599999999991</v>
      </c>
      <c r="U20" s="1"/>
      <c r="V20" s="5">
        <f t="shared" si="13"/>
        <v>0</v>
      </c>
      <c r="W20" s="1"/>
      <c r="X20" s="1">
        <f t="shared" si="14"/>
        <v>4255.8300000000017</v>
      </c>
      <c r="Y20" s="1"/>
      <c r="Z20" s="5">
        <f t="shared" si="15"/>
        <v>0.69951643337563074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702.48</v>
      </c>
      <c r="E21" s="2"/>
      <c r="F21" s="8">
        <f t="shared" si="8"/>
        <v>0</v>
      </c>
      <c r="G21" s="2"/>
      <c r="H21" s="7"/>
      <c r="I21" s="2"/>
      <c r="J21" s="8">
        <f t="shared" si="9"/>
        <v>0</v>
      </c>
      <c r="K21" s="2"/>
      <c r="L21" s="7">
        <f t="shared" si="10"/>
        <v>702.48</v>
      </c>
      <c r="M21" s="2"/>
      <c r="N21" s="8">
        <f t="shared" si="11"/>
        <v>0</v>
      </c>
      <c r="O21" s="11"/>
      <c r="P21" s="7">
        <v>1215.45</v>
      </c>
      <c r="Q21" s="2"/>
      <c r="R21" s="8">
        <f t="shared" si="12"/>
        <v>0</v>
      </c>
      <c r="S21" s="2"/>
      <c r="T21" s="7">
        <v>235.15</v>
      </c>
      <c r="U21" s="2"/>
      <c r="V21" s="8">
        <f t="shared" si="13"/>
        <v>0</v>
      </c>
      <c r="W21" s="2"/>
      <c r="X21" s="7">
        <f t="shared" si="14"/>
        <v>980.30000000000007</v>
      </c>
      <c r="Y21" s="2"/>
      <c r="Z21" s="8">
        <f t="shared" si="15"/>
        <v>4.1688284073995323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341.54</v>
      </c>
      <c r="E22" s="2"/>
      <c r="F22" s="8">
        <f t="shared" si="8"/>
        <v>0</v>
      </c>
      <c r="G22" s="2"/>
      <c r="H22" s="7"/>
      <c r="I22" s="2"/>
      <c r="J22" s="8">
        <f t="shared" si="9"/>
        <v>0</v>
      </c>
      <c r="K22" s="2"/>
      <c r="L22" s="7">
        <f t="shared" si="10"/>
        <v>341.54</v>
      </c>
      <c r="M22" s="2"/>
      <c r="N22" s="8">
        <f t="shared" si="11"/>
        <v>0</v>
      </c>
      <c r="O22" s="11"/>
      <c r="P22" s="7">
        <v>582.13</v>
      </c>
      <c r="Q22" s="2"/>
      <c r="R22" s="8">
        <f t="shared" si="12"/>
        <v>0</v>
      </c>
      <c r="S22" s="2"/>
      <c r="T22" s="7"/>
      <c r="U22" s="2"/>
      <c r="V22" s="8">
        <f t="shared" si="13"/>
        <v>0</v>
      </c>
      <c r="W22" s="2"/>
      <c r="X22" s="7">
        <f t="shared" si="14"/>
        <v>582.13</v>
      </c>
      <c r="Y22" s="2"/>
      <c r="Z22" s="8">
        <f t="shared" si="15"/>
        <v>0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3353.46</v>
      </c>
      <c r="E23" s="2"/>
      <c r="F23" s="8">
        <f t="shared" si="8"/>
        <v>0</v>
      </c>
      <c r="G23" s="2"/>
      <c r="H23" s="7"/>
      <c r="I23" s="2"/>
      <c r="J23" s="8">
        <f t="shared" si="9"/>
        <v>0</v>
      </c>
      <c r="K23" s="2"/>
      <c r="L23" s="7">
        <f t="shared" si="10"/>
        <v>3353.46</v>
      </c>
      <c r="M23" s="2"/>
      <c r="N23" s="8">
        <f t="shared" si="11"/>
        <v>0</v>
      </c>
      <c r="O23" s="11"/>
      <c r="P23" s="7">
        <v>6706.92</v>
      </c>
      <c r="Q23" s="2"/>
      <c r="R23" s="8">
        <f t="shared" si="12"/>
        <v>0</v>
      </c>
      <c r="S23" s="2"/>
      <c r="T23" s="7">
        <v>4780.67</v>
      </c>
      <c r="U23" s="2"/>
      <c r="V23" s="8">
        <f t="shared" si="13"/>
        <v>0</v>
      </c>
      <c r="W23" s="2"/>
      <c r="X23" s="7">
        <f t="shared" si="14"/>
        <v>1926.25</v>
      </c>
      <c r="Y23" s="2"/>
      <c r="Z23" s="8">
        <f t="shared" si="15"/>
        <v>0.40292469465577002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24.67</v>
      </c>
      <c r="E24" s="2"/>
      <c r="F24" s="8">
        <f t="shared" si="8"/>
        <v>0</v>
      </c>
      <c r="G24" s="2"/>
      <c r="H24" s="7"/>
      <c r="I24" s="2"/>
      <c r="J24" s="8">
        <f t="shared" si="9"/>
        <v>0</v>
      </c>
      <c r="K24" s="2"/>
      <c r="L24" s="7">
        <f t="shared" si="10"/>
        <v>24.67</v>
      </c>
      <c r="M24" s="2"/>
      <c r="N24" s="8">
        <f t="shared" si="11"/>
        <v>0</v>
      </c>
      <c r="O24" s="11"/>
      <c r="P24" s="7">
        <v>42.1</v>
      </c>
      <c r="Q24" s="2"/>
      <c r="R24" s="8">
        <f t="shared" si="12"/>
        <v>0</v>
      </c>
      <c r="S24" s="2"/>
      <c r="T24" s="7"/>
      <c r="U24" s="2"/>
      <c r="V24" s="8">
        <f t="shared" si="13"/>
        <v>0</v>
      </c>
      <c r="W24" s="2"/>
      <c r="X24" s="7">
        <f t="shared" si="14"/>
        <v>42.1</v>
      </c>
      <c r="Y24" s="2"/>
      <c r="Z24" s="8">
        <f t="shared" si="15"/>
        <v>0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/>
      <c r="E25" s="2"/>
      <c r="F25" s="8">
        <f t="shared" si="8"/>
        <v>0</v>
      </c>
      <c r="G25" s="2"/>
      <c r="H25" s="7"/>
      <c r="I25" s="2"/>
      <c r="J25" s="8">
        <f t="shared" si="9"/>
        <v>0</v>
      </c>
      <c r="K25" s="2"/>
      <c r="L25" s="7">
        <f t="shared" si="10"/>
        <v>0</v>
      </c>
      <c r="M25" s="2"/>
      <c r="N25" s="8">
        <f t="shared" si="11"/>
        <v>0</v>
      </c>
      <c r="O25" s="11"/>
      <c r="P25" s="7"/>
      <c r="Q25" s="2"/>
      <c r="R25" s="8">
        <f t="shared" si="12"/>
        <v>0</v>
      </c>
      <c r="S25" s="2"/>
      <c r="T25" s="7">
        <v>678.15</v>
      </c>
      <c r="U25" s="2"/>
      <c r="V25" s="8">
        <f t="shared" si="13"/>
        <v>0</v>
      </c>
      <c r="W25" s="2"/>
      <c r="X25" s="7">
        <f t="shared" si="14"/>
        <v>-678.15</v>
      </c>
      <c r="Y25" s="2"/>
      <c r="Z25" s="8">
        <f t="shared" si="15"/>
        <v>-1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7">
        <v>289.12</v>
      </c>
      <c r="E26" s="2"/>
      <c r="F26" s="8">
        <f t="shared" si="8"/>
        <v>0</v>
      </c>
      <c r="G26" s="2"/>
      <c r="H26" s="7"/>
      <c r="I26" s="2"/>
      <c r="J26" s="8">
        <f t="shared" si="9"/>
        <v>0</v>
      </c>
      <c r="K26" s="2"/>
      <c r="L26" s="7">
        <f t="shared" si="10"/>
        <v>289.12</v>
      </c>
      <c r="M26" s="2"/>
      <c r="N26" s="8">
        <f t="shared" si="11"/>
        <v>0</v>
      </c>
      <c r="O26" s="11"/>
      <c r="P26" s="7">
        <v>566.76</v>
      </c>
      <c r="Q26" s="2"/>
      <c r="R26" s="8">
        <f t="shared" si="12"/>
        <v>0</v>
      </c>
      <c r="S26" s="2"/>
      <c r="T26" s="7">
        <v>248.21</v>
      </c>
      <c r="U26" s="2"/>
      <c r="V26" s="8">
        <f t="shared" si="13"/>
        <v>0</v>
      </c>
      <c r="W26" s="2"/>
      <c r="X26" s="7">
        <f t="shared" si="14"/>
        <v>318.54999999999995</v>
      </c>
      <c r="Y26" s="2"/>
      <c r="Z26" s="8">
        <f t="shared" si="15"/>
        <v>1.2833890657104869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7">
        <v>273.06</v>
      </c>
      <c r="E27" s="2"/>
      <c r="F27" s="8">
        <f t="shared" si="8"/>
        <v>0</v>
      </c>
      <c r="G27" s="2"/>
      <c r="H27" s="7"/>
      <c r="I27" s="2"/>
      <c r="J27" s="8">
        <f t="shared" si="9"/>
        <v>0</v>
      </c>
      <c r="K27" s="2"/>
      <c r="L27" s="7">
        <f t="shared" si="10"/>
        <v>273.06</v>
      </c>
      <c r="M27" s="2"/>
      <c r="N27" s="8">
        <f t="shared" si="11"/>
        <v>0</v>
      </c>
      <c r="O27" s="11"/>
      <c r="P27" s="7">
        <v>536.92999999999995</v>
      </c>
      <c r="Q27" s="2"/>
      <c r="R27" s="8">
        <f t="shared" si="12"/>
        <v>0</v>
      </c>
      <c r="S27" s="2"/>
      <c r="T27" s="7">
        <v>141.78</v>
      </c>
      <c r="U27" s="2"/>
      <c r="V27" s="8">
        <f t="shared" si="13"/>
        <v>0</v>
      </c>
      <c r="W27" s="2"/>
      <c r="X27" s="7">
        <f t="shared" si="14"/>
        <v>395.15</v>
      </c>
      <c r="Y27" s="2"/>
      <c r="Z27" s="8">
        <f t="shared" si="15"/>
        <v>2.7870644660741992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7">
        <v>347.43</v>
      </c>
      <c r="E28" s="2"/>
      <c r="F28" s="8">
        <f t="shared" si="8"/>
        <v>0</v>
      </c>
      <c r="G28" s="2"/>
      <c r="H28" s="7"/>
      <c r="I28" s="2"/>
      <c r="J28" s="8">
        <f t="shared" si="9"/>
        <v>0</v>
      </c>
      <c r="K28" s="2"/>
      <c r="L28" s="7">
        <f t="shared" si="10"/>
        <v>347.43</v>
      </c>
      <c r="M28" s="2"/>
      <c r="N28" s="8">
        <f t="shared" si="11"/>
        <v>0</v>
      </c>
      <c r="O28" s="11"/>
      <c r="P28" s="7">
        <v>689.5</v>
      </c>
      <c r="Q28" s="2"/>
      <c r="R28" s="8">
        <f t="shared" si="12"/>
        <v>0</v>
      </c>
      <c r="S28" s="2"/>
      <c r="T28" s="7"/>
      <c r="U28" s="2"/>
      <c r="V28" s="8">
        <f t="shared" si="13"/>
        <v>0</v>
      </c>
      <c r="W28" s="2"/>
      <c r="X28" s="7">
        <f t="shared" si="14"/>
        <v>689.5</v>
      </c>
      <c r="Y28" s="2"/>
      <c r="Z28" s="8">
        <f t="shared" si="15"/>
        <v>0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9019.7800000000007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9019.7800000000007</v>
      </c>
      <c r="M29" s="1"/>
      <c r="N29" s="5">
        <f t="shared" ref="N29:N33" si="19">IF(H29=0,0,L29/H29)</f>
        <v>0</v>
      </c>
      <c r="O29" s="14"/>
      <c r="P29" s="1">
        <f>SUM(OSRRefP22_1x_0)</f>
        <v>17459.38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15307.69</v>
      </c>
      <c r="Y29" s="1"/>
      <c r="Z29" s="5">
        <f t="shared" ref="Z29:Z33" si="23">IF(T29=0,0,X29/T29)</f>
        <v>7.11426367181146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8">
        <f t="shared" si="16"/>
        <v>0</v>
      </c>
      <c r="G30" s="2"/>
      <c r="H30" s="7"/>
      <c r="I30" s="2"/>
      <c r="J30" s="8">
        <f t="shared" si="17"/>
        <v>0</v>
      </c>
      <c r="K30" s="2"/>
      <c r="L30" s="7">
        <f t="shared" si="18"/>
        <v>0</v>
      </c>
      <c r="M30" s="2"/>
      <c r="N30" s="8">
        <f t="shared" si="19"/>
        <v>0</v>
      </c>
      <c r="O30" s="11"/>
      <c r="P30" s="7"/>
      <c r="Q30" s="2"/>
      <c r="R30" s="8">
        <f t="shared" si="20"/>
        <v>0</v>
      </c>
      <c r="S30" s="2"/>
      <c r="T30" s="7">
        <v>2151.69</v>
      </c>
      <c r="U30" s="2"/>
      <c r="V30" s="8">
        <f t="shared" si="21"/>
        <v>0</v>
      </c>
      <c r="W30" s="2"/>
      <c r="X30" s="7">
        <f t="shared" si="22"/>
        <v>-2151.69</v>
      </c>
      <c r="Y30" s="2"/>
      <c r="Z30" s="8">
        <f t="shared" si="23"/>
        <v>-1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7">
        <v>4416.18</v>
      </c>
      <c r="E31" s="2"/>
      <c r="F31" s="8">
        <f t="shared" si="16"/>
        <v>0</v>
      </c>
      <c r="G31" s="2"/>
      <c r="H31" s="7"/>
      <c r="I31" s="2"/>
      <c r="J31" s="8">
        <f t="shared" si="17"/>
        <v>0</v>
      </c>
      <c r="K31" s="2"/>
      <c r="L31" s="7">
        <f t="shared" si="18"/>
        <v>4416.18</v>
      </c>
      <c r="M31" s="2"/>
      <c r="N31" s="8">
        <f t="shared" si="19"/>
        <v>0</v>
      </c>
      <c r="O31" s="11"/>
      <c r="P31" s="7">
        <v>9147.4500000000007</v>
      </c>
      <c r="Q31" s="2"/>
      <c r="R31" s="8">
        <f t="shared" si="20"/>
        <v>0</v>
      </c>
      <c r="S31" s="2"/>
      <c r="T31" s="7"/>
      <c r="U31" s="2"/>
      <c r="V31" s="8">
        <f t="shared" si="21"/>
        <v>0</v>
      </c>
      <c r="W31" s="2"/>
      <c r="X31" s="7">
        <f t="shared" si="22"/>
        <v>9147.4500000000007</v>
      </c>
      <c r="Y31" s="2"/>
      <c r="Z31" s="8">
        <f t="shared" si="23"/>
        <v>0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7">
        <v>3895.6</v>
      </c>
      <c r="E32" s="2"/>
      <c r="F32" s="8">
        <f t="shared" si="16"/>
        <v>0</v>
      </c>
      <c r="G32" s="2"/>
      <c r="H32" s="7"/>
      <c r="I32" s="2"/>
      <c r="J32" s="8">
        <f t="shared" si="17"/>
        <v>0</v>
      </c>
      <c r="K32" s="2"/>
      <c r="L32" s="7">
        <f t="shared" si="18"/>
        <v>3895.6</v>
      </c>
      <c r="M32" s="2"/>
      <c r="N32" s="8">
        <f t="shared" si="19"/>
        <v>0</v>
      </c>
      <c r="O32" s="11"/>
      <c r="P32" s="7">
        <v>5437.93</v>
      </c>
      <c r="Q32" s="2"/>
      <c r="R32" s="8">
        <f t="shared" si="20"/>
        <v>0</v>
      </c>
      <c r="S32" s="2"/>
      <c r="T32" s="7"/>
      <c r="U32" s="2"/>
      <c r="V32" s="8">
        <f t="shared" si="21"/>
        <v>0</v>
      </c>
      <c r="W32" s="2"/>
      <c r="X32" s="7">
        <f t="shared" si="22"/>
        <v>5437.93</v>
      </c>
      <c r="Y32" s="2"/>
      <c r="Z32" s="8">
        <f t="shared" si="23"/>
        <v>0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7">
        <v>708</v>
      </c>
      <c r="E33" s="2"/>
      <c r="F33" s="8">
        <f t="shared" si="16"/>
        <v>0</v>
      </c>
      <c r="G33" s="2"/>
      <c r="H33" s="7"/>
      <c r="I33" s="2"/>
      <c r="J33" s="8">
        <f t="shared" si="17"/>
        <v>0</v>
      </c>
      <c r="K33" s="2"/>
      <c r="L33" s="7">
        <f t="shared" si="18"/>
        <v>708</v>
      </c>
      <c r="M33" s="2"/>
      <c r="N33" s="8">
        <f t="shared" si="19"/>
        <v>0</v>
      </c>
      <c r="O33" s="11"/>
      <c r="P33" s="7">
        <v>2874</v>
      </c>
      <c r="Q33" s="2"/>
      <c r="R33" s="8">
        <f t="shared" si="20"/>
        <v>0</v>
      </c>
      <c r="S33" s="2"/>
      <c r="T33" s="7"/>
      <c r="U33" s="2"/>
      <c r="V33" s="8">
        <f t="shared" si="21"/>
        <v>0</v>
      </c>
      <c r="W33" s="2"/>
      <c r="X33" s="7">
        <f t="shared" si="22"/>
        <v>2874</v>
      </c>
      <c r="Y33" s="2"/>
      <c r="Z33" s="8">
        <f t="shared" si="23"/>
        <v>0</v>
      </c>
    </row>
    <row r="34" spans="1:26" s="28" customFormat="1" outlineLevel="1" collapsed="1" x14ac:dyDescent="0.3">
      <c r="A34" s="29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4.5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4.5</v>
      </c>
      <c r="M34" s="1"/>
      <c r="N34" s="5">
        <f t="shared" ref="N34:N40" si="27">IF(H34=0,0,L34/H34)</f>
        <v>0</v>
      </c>
      <c r="O34" s="14"/>
      <c r="P34" s="1">
        <f>SUM(OSRRefP22_2x_0)</f>
        <v>253.82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253.82</v>
      </c>
      <c r="Y34" s="1"/>
      <c r="Z34" s="5">
        <f t="shared" ref="Z34:Z40" si="31">IF(T34=0,0,X34/T34)</f>
        <v>0</v>
      </c>
    </row>
    <row r="35" spans="1:26" s="24" customFormat="1" hidden="1" outlineLevel="2" x14ac:dyDescent="0.3">
      <c r="A35" s="27"/>
      <c r="B35" s="11" t="str">
        <f>CONCATENATE("          ", "6362", " - ", "ADVERTISING EXPENSE")</f>
        <v xml:space="preserve">          6362 - ADVERTISING EXPENSE</v>
      </c>
      <c r="C35" s="11"/>
      <c r="D35" s="7">
        <v>4.5</v>
      </c>
      <c r="E35" s="2"/>
      <c r="F35" s="8">
        <f t="shared" si="24"/>
        <v>0</v>
      </c>
      <c r="G35" s="2"/>
      <c r="H35" s="7"/>
      <c r="I35" s="2"/>
      <c r="J35" s="8">
        <f t="shared" si="25"/>
        <v>0</v>
      </c>
      <c r="K35" s="2"/>
      <c r="L35" s="7">
        <f t="shared" si="26"/>
        <v>4.5</v>
      </c>
      <c r="M35" s="2"/>
      <c r="N35" s="8">
        <f t="shared" si="27"/>
        <v>0</v>
      </c>
      <c r="O35" s="11"/>
      <c r="P35" s="7">
        <v>253.82</v>
      </c>
      <c r="Q35" s="2"/>
      <c r="R35" s="8">
        <f t="shared" si="28"/>
        <v>0</v>
      </c>
      <c r="S35" s="2"/>
      <c r="T35" s="7"/>
      <c r="U35" s="2"/>
      <c r="V35" s="8">
        <f t="shared" si="29"/>
        <v>0</v>
      </c>
      <c r="W35" s="2"/>
      <c r="X35" s="7">
        <f t="shared" si="30"/>
        <v>253.82</v>
      </c>
      <c r="Y35" s="2"/>
      <c r="Z35" s="8">
        <f t="shared" si="31"/>
        <v>0</v>
      </c>
    </row>
    <row r="36" spans="1:26" s="28" customFormat="1" outlineLevel="1" collapsed="1" x14ac:dyDescent="0.3">
      <c r="A36" s="29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0.27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0.27</v>
      </c>
      <c r="M36" s="1"/>
      <c r="N36" s="5">
        <f t="shared" si="27"/>
        <v>0</v>
      </c>
      <c r="O36" s="14"/>
      <c r="P36" s="1">
        <f>SUM(OSRRefP22_3x_0)</f>
        <v>0.37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0.37</v>
      </c>
      <c r="Y36" s="1"/>
      <c r="Z36" s="5">
        <f t="shared" si="31"/>
        <v>0</v>
      </c>
    </row>
    <row r="37" spans="1:26" s="24" customFormat="1" hidden="1" outlineLevel="2" x14ac:dyDescent="0.3">
      <c r="A37" s="27"/>
      <c r="B37" s="11" t="str">
        <f>CONCATENATE("          ", "6381", " - ", "BANK/CREDIT CARD FEES")</f>
        <v xml:space="preserve">          6381 - BANK/CREDIT CARD FEES</v>
      </c>
      <c r="C37" s="11"/>
      <c r="D37" s="7">
        <v>0.27</v>
      </c>
      <c r="E37" s="2"/>
      <c r="F37" s="8">
        <f t="shared" si="24"/>
        <v>0</v>
      </c>
      <c r="G37" s="2"/>
      <c r="H37" s="7"/>
      <c r="I37" s="2"/>
      <c r="J37" s="8">
        <f t="shared" si="25"/>
        <v>0</v>
      </c>
      <c r="K37" s="2"/>
      <c r="L37" s="7">
        <f t="shared" si="26"/>
        <v>0.27</v>
      </c>
      <c r="M37" s="2"/>
      <c r="N37" s="8">
        <f t="shared" si="27"/>
        <v>0</v>
      </c>
      <c r="O37" s="11"/>
      <c r="P37" s="7">
        <v>0.37</v>
      </c>
      <c r="Q37" s="2"/>
      <c r="R37" s="8">
        <f t="shared" si="28"/>
        <v>0</v>
      </c>
      <c r="S37" s="2"/>
      <c r="T37" s="7"/>
      <c r="U37" s="2"/>
      <c r="V37" s="8">
        <f t="shared" si="29"/>
        <v>0</v>
      </c>
      <c r="W37" s="2"/>
      <c r="X37" s="7">
        <f t="shared" si="30"/>
        <v>0.37</v>
      </c>
      <c r="Y37" s="2"/>
      <c r="Z37" s="8">
        <f t="shared" si="31"/>
        <v>0</v>
      </c>
    </row>
    <row r="38" spans="1:26" s="28" customFormat="1" outlineLevel="1" collapsed="1" x14ac:dyDescent="0.3">
      <c r="A38" s="29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6745.15</v>
      </c>
      <c r="E38" s="1"/>
      <c r="F38" s="5">
        <f t="shared" si="24"/>
        <v>0</v>
      </c>
      <c r="G38" s="1"/>
      <c r="H38" s="1">
        <f>SUM(OSRRefH22_4x_0)</f>
        <v>7177.55</v>
      </c>
      <c r="I38" s="1"/>
      <c r="J38" s="5">
        <f t="shared" si="25"/>
        <v>0</v>
      </c>
      <c r="K38" s="1"/>
      <c r="L38" s="1">
        <f t="shared" si="26"/>
        <v>-432.40000000000055</v>
      </c>
      <c r="M38" s="1"/>
      <c r="N38" s="5">
        <f t="shared" si="27"/>
        <v>-6.0243397816803858E-2</v>
      </c>
      <c r="O38" s="14"/>
      <c r="P38" s="1">
        <f>SUM(OSRRefP22_4x_0)</f>
        <v>13490.3</v>
      </c>
      <c r="Q38" s="1"/>
      <c r="R38" s="5">
        <f t="shared" si="28"/>
        <v>0</v>
      </c>
      <c r="S38" s="1"/>
      <c r="T38" s="1">
        <f>SUM(OSRRefT22_4x_0)</f>
        <v>14355.1</v>
      </c>
      <c r="U38" s="1"/>
      <c r="V38" s="5">
        <f t="shared" si="29"/>
        <v>0</v>
      </c>
      <c r="W38" s="1"/>
      <c r="X38" s="1">
        <f t="shared" si="30"/>
        <v>-864.80000000000109</v>
      </c>
      <c r="Y38" s="1"/>
      <c r="Z38" s="5">
        <f t="shared" si="31"/>
        <v>-6.0243397816803858E-2</v>
      </c>
    </row>
    <row r="39" spans="1:26" s="24" customFormat="1" hidden="1" outlineLevel="2" x14ac:dyDescent="0.3">
      <c r="A39" s="27"/>
      <c r="B39" s="11" t="str">
        <f>CONCATENATE("          ", "6321", " - ", "BUILDING DEPRECIATION")</f>
        <v xml:space="preserve">          6321 - BUILDING DEPRECIATION</v>
      </c>
      <c r="C39" s="11"/>
      <c r="D39" s="7">
        <v>6537.03</v>
      </c>
      <c r="E39" s="2"/>
      <c r="F39" s="8">
        <f t="shared" si="24"/>
        <v>0</v>
      </c>
      <c r="G39" s="2"/>
      <c r="H39" s="7">
        <v>6537.05</v>
      </c>
      <c r="I39" s="2"/>
      <c r="J39" s="8">
        <f t="shared" si="25"/>
        <v>0</v>
      </c>
      <c r="K39" s="2"/>
      <c r="L39" s="7">
        <f t="shared" si="26"/>
        <v>-2.0000000000436557E-2</v>
      </c>
      <c r="M39" s="2"/>
      <c r="N39" s="8">
        <f t="shared" si="27"/>
        <v>-3.0594840180871427E-6</v>
      </c>
      <c r="O39" s="11"/>
      <c r="P39" s="7">
        <v>13074.06</v>
      </c>
      <c r="Q39" s="2"/>
      <c r="R39" s="8">
        <f t="shared" si="28"/>
        <v>0</v>
      </c>
      <c r="S39" s="2"/>
      <c r="T39" s="7">
        <v>13074.1</v>
      </c>
      <c r="U39" s="2"/>
      <c r="V39" s="8">
        <f t="shared" si="29"/>
        <v>0</v>
      </c>
      <c r="W39" s="2"/>
      <c r="X39" s="7">
        <f t="shared" si="30"/>
        <v>-4.0000000000873115E-2</v>
      </c>
      <c r="Y39" s="2"/>
      <c r="Z39" s="8">
        <f t="shared" si="31"/>
        <v>-3.0594840180871427E-6</v>
      </c>
    </row>
    <row r="40" spans="1:26" s="24" customFormat="1" hidden="1" outlineLevel="2" x14ac:dyDescent="0.3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7">
        <v>208.12</v>
      </c>
      <c r="E40" s="2"/>
      <c r="F40" s="8">
        <f t="shared" si="24"/>
        <v>0</v>
      </c>
      <c r="G40" s="2"/>
      <c r="H40" s="7">
        <v>640.5</v>
      </c>
      <c r="I40" s="2"/>
      <c r="J40" s="8">
        <f t="shared" si="25"/>
        <v>0</v>
      </c>
      <c r="K40" s="2"/>
      <c r="L40" s="7">
        <f t="shared" si="26"/>
        <v>-432.38</v>
      </c>
      <c r="M40" s="2"/>
      <c r="N40" s="8">
        <f t="shared" si="27"/>
        <v>-0.67506635441061669</v>
      </c>
      <c r="O40" s="11"/>
      <c r="P40" s="7">
        <v>416.24</v>
      </c>
      <c r="Q40" s="2"/>
      <c r="R40" s="8">
        <f t="shared" si="28"/>
        <v>0</v>
      </c>
      <c r="S40" s="2"/>
      <c r="T40" s="7">
        <v>1281</v>
      </c>
      <c r="U40" s="2"/>
      <c r="V40" s="8">
        <f t="shared" si="29"/>
        <v>0</v>
      </c>
      <c r="W40" s="2"/>
      <c r="X40" s="7">
        <f t="shared" si="30"/>
        <v>-864.76</v>
      </c>
      <c r="Y40" s="2"/>
      <c r="Z40" s="8">
        <f t="shared" si="31"/>
        <v>-0.67506635441061669</v>
      </c>
    </row>
    <row r="41" spans="1:26" s="28" customFormat="1" outlineLevel="1" collapsed="1" x14ac:dyDescent="0.3">
      <c r="A41" s="29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819.39</v>
      </c>
      <c r="E41" s="1"/>
      <c r="F41" s="5">
        <f t="shared" ref="F41:F47" si="32">IF(D$12=0,0,D41/D$12)</f>
        <v>0</v>
      </c>
      <c r="G41" s="1"/>
      <c r="H41" s="1">
        <f>SUM(OSRRefH22_5x_0)</f>
        <v>0</v>
      </c>
      <c r="I41" s="1"/>
      <c r="J41" s="5">
        <f t="shared" ref="J41:J47" si="33">IF(H$12=0,0,H41/H$12)</f>
        <v>0</v>
      </c>
      <c r="K41" s="1"/>
      <c r="L41" s="1">
        <f t="shared" ref="L41:L47" si="34">+D41-H41</f>
        <v>819.39</v>
      </c>
      <c r="M41" s="1"/>
      <c r="N41" s="5">
        <f t="shared" ref="N41:N47" si="35">IF(H41=0,0,L41/H41)</f>
        <v>0</v>
      </c>
      <c r="O41" s="14"/>
      <c r="P41" s="1">
        <f>SUM(OSRRefP22_5x_0)</f>
        <v>1034.8599999999999</v>
      </c>
      <c r="Q41" s="1"/>
      <c r="R41" s="5">
        <f t="shared" ref="R41:R47" si="36">IF(P$12=0,0,P41/P$12)</f>
        <v>0</v>
      </c>
      <c r="S41" s="1"/>
      <c r="T41" s="1">
        <f>SUM(OSRRefT22_5x_0)</f>
        <v>263.72000000000003</v>
      </c>
      <c r="U41" s="1"/>
      <c r="V41" s="5">
        <f t="shared" ref="V41:V47" si="37">IF(T$12=0,0,T41/T$12)</f>
        <v>0</v>
      </c>
      <c r="W41" s="1"/>
      <c r="X41" s="1">
        <f t="shared" ref="X41:X47" si="38">+P41-T41</f>
        <v>771.13999999999987</v>
      </c>
      <c r="Y41" s="1"/>
      <c r="Z41" s="5">
        <f t="shared" ref="Z41:Z47" si="39">IF(T41=0,0,X41/T41)</f>
        <v>2.9240861519793713</v>
      </c>
    </row>
    <row r="42" spans="1:26" s="24" customFormat="1" hidden="1" outlineLevel="2" x14ac:dyDescent="0.3">
      <c r="A42" s="27"/>
      <c r="B42" s="11" t="str">
        <f>CONCATENATE("          ", "6351", " - ", "EQUIPMENT RENTAL")</f>
        <v xml:space="preserve">          6351 - EQUIPMENT RENTAL</v>
      </c>
      <c r="C42" s="11"/>
      <c r="D42" s="7">
        <v>819.39</v>
      </c>
      <c r="E42" s="2"/>
      <c r="F42" s="8">
        <f t="shared" si="32"/>
        <v>0</v>
      </c>
      <c r="G42" s="2"/>
      <c r="H42" s="7"/>
      <c r="I42" s="2"/>
      <c r="J42" s="8">
        <f t="shared" si="33"/>
        <v>0</v>
      </c>
      <c r="K42" s="2"/>
      <c r="L42" s="7">
        <f t="shared" si="34"/>
        <v>819.39</v>
      </c>
      <c r="M42" s="2"/>
      <c r="N42" s="8">
        <f t="shared" si="35"/>
        <v>0</v>
      </c>
      <c r="O42" s="11"/>
      <c r="P42" s="7">
        <v>1034.8599999999999</v>
      </c>
      <c r="Q42" s="2"/>
      <c r="R42" s="8">
        <f t="shared" si="36"/>
        <v>0</v>
      </c>
      <c r="S42" s="2"/>
      <c r="T42" s="7">
        <v>263.72000000000003</v>
      </c>
      <c r="U42" s="2"/>
      <c r="V42" s="8">
        <f t="shared" si="37"/>
        <v>0</v>
      </c>
      <c r="W42" s="2"/>
      <c r="X42" s="7">
        <f t="shared" si="38"/>
        <v>771.13999999999987</v>
      </c>
      <c r="Y42" s="2"/>
      <c r="Z42" s="8">
        <f t="shared" si="39"/>
        <v>2.9240861519793713</v>
      </c>
    </row>
    <row r="43" spans="1:26" s="28" customFormat="1" outlineLevel="1" collapsed="1" x14ac:dyDescent="0.3">
      <c r="A43" s="29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SUM(OSRRefD22_6x_0)</f>
        <v>1314.55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1314.55</v>
      </c>
      <c r="M43" s="1"/>
      <c r="N43" s="5">
        <f t="shared" si="35"/>
        <v>0</v>
      </c>
      <c r="O43" s="14"/>
      <c r="P43" s="1">
        <f>SUM(OSRRefP22_6x_0)</f>
        <v>1314.55</v>
      </c>
      <c r="Q43" s="1"/>
      <c r="R43" s="5">
        <f t="shared" si="36"/>
        <v>0</v>
      </c>
      <c r="S43" s="1"/>
      <c r="T43" s="1">
        <f>SUM(OSRRefT22_6x_0)</f>
        <v>1284.55</v>
      </c>
      <c r="U43" s="1"/>
      <c r="V43" s="5">
        <f t="shared" si="37"/>
        <v>0</v>
      </c>
      <c r="W43" s="1"/>
      <c r="X43" s="1">
        <f t="shared" si="38"/>
        <v>30</v>
      </c>
      <c r="Y43" s="1"/>
      <c r="Z43" s="5">
        <f t="shared" si="39"/>
        <v>2.3354482114359115E-2</v>
      </c>
    </row>
    <row r="44" spans="1:26" s="24" customFormat="1" hidden="1" outlineLevel="2" x14ac:dyDescent="0.3">
      <c r="A44" s="27"/>
      <c r="B44" s="11" t="str">
        <f>CONCATENATE("          ", "6279", " - ", "GENERAL EXPENSE")</f>
        <v xml:space="preserve">          6279 - GENERAL EXPENSE</v>
      </c>
      <c r="C44" s="11"/>
      <c r="D44" s="7">
        <v>1314.55</v>
      </c>
      <c r="E44" s="2"/>
      <c r="F44" s="8">
        <f t="shared" si="32"/>
        <v>0</v>
      </c>
      <c r="G44" s="2"/>
      <c r="H44" s="7"/>
      <c r="I44" s="2"/>
      <c r="J44" s="8">
        <f t="shared" si="33"/>
        <v>0</v>
      </c>
      <c r="K44" s="2"/>
      <c r="L44" s="7">
        <f t="shared" si="34"/>
        <v>1314.55</v>
      </c>
      <c r="M44" s="2"/>
      <c r="N44" s="8">
        <f t="shared" si="35"/>
        <v>0</v>
      </c>
      <c r="O44" s="11"/>
      <c r="P44" s="7">
        <v>1314.55</v>
      </c>
      <c r="Q44" s="2"/>
      <c r="R44" s="8">
        <f t="shared" si="36"/>
        <v>0</v>
      </c>
      <c r="S44" s="2"/>
      <c r="T44" s="7">
        <v>1284.55</v>
      </c>
      <c r="U44" s="2"/>
      <c r="V44" s="8">
        <f t="shared" si="37"/>
        <v>0</v>
      </c>
      <c r="W44" s="2"/>
      <c r="X44" s="7">
        <f t="shared" si="38"/>
        <v>30</v>
      </c>
      <c r="Y44" s="2"/>
      <c r="Z44" s="8">
        <f t="shared" si="39"/>
        <v>2.3354482114359115E-2</v>
      </c>
    </row>
    <row r="45" spans="1:26" s="28" customFormat="1" outlineLevel="1" collapsed="1" x14ac:dyDescent="0.3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1079.81</v>
      </c>
      <c r="E45" s="1"/>
      <c r="F45" s="5">
        <f t="shared" si="32"/>
        <v>0</v>
      </c>
      <c r="G45" s="1"/>
      <c r="H45" s="1">
        <f>SUM(OSRRefH22_7x_0)</f>
        <v>78.599999999999994</v>
      </c>
      <c r="I45" s="1"/>
      <c r="J45" s="5">
        <f t="shared" si="33"/>
        <v>0</v>
      </c>
      <c r="K45" s="1"/>
      <c r="L45" s="1">
        <f t="shared" si="34"/>
        <v>1001.2099999999999</v>
      </c>
      <c r="M45" s="1"/>
      <c r="N45" s="5">
        <f t="shared" si="35"/>
        <v>12.738040712468193</v>
      </c>
      <c r="O45" s="14"/>
      <c r="P45" s="1">
        <f>SUM(OSRRefP22_7x_0)</f>
        <v>2031.28</v>
      </c>
      <c r="Q45" s="1"/>
      <c r="R45" s="5">
        <f t="shared" si="36"/>
        <v>0</v>
      </c>
      <c r="S45" s="1"/>
      <c r="T45" s="1">
        <f>SUM(OSRRefT22_7x_0)</f>
        <v>78.599999999999994</v>
      </c>
      <c r="U45" s="1"/>
      <c r="V45" s="5">
        <f t="shared" si="37"/>
        <v>0</v>
      </c>
      <c r="W45" s="1"/>
      <c r="X45" s="1">
        <f t="shared" si="38"/>
        <v>1952.68</v>
      </c>
      <c r="Y45" s="1"/>
      <c r="Z45" s="5">
        <f t="shared" si="39"/>
        <v>24.843256997455473</v>
      </c>
    </row>
    <row r="46" spans="1:26" s="24" customFormat="1" hidden="1" outlineLevel="2" x14ac:dyDescent="0.3">
      <c r="A46" s="27"/>
      <c r="B46" s="11" t="str">
        <f>CONCATENATE("          ", "6373", " - ", "MAINTENANCE CONTRACTS")</f>
        <v xml:space="preserve">          6373 - MAINTENANCE CONTRACTS</v>
      </c>
      <c r="C46" s="11"/>
      <c r="D46" s="7"/>
      <c r="E46" s="2"/>
      <c r="F46" s="8">
        <f t="shared" si="32"/>
        <v>0</v>
      </c>
      <c r="G46" s="2"/>
      <c r="H46" s="7">
        <v>78.599999999999994</v>
      </c>
      <c r="I46" s="2"/>
      <c r="J46" s="8">
        <f t="shared" si="33"/>
        <v>0</v>
      </c>
      <c r="K46" s="2"/>
      <c r="L46" s="7">
        <f t="shared" si="34"/>
        <v>-78.599999999999994</v>
      </c>
      <c r="M46" s="2"/>
      <c r="N46" s="8">
        <f t="shared" si="35"/>
        <v>-1</v>
      </c>
      <c r="O46" s="11"/>
      <c r="P46" s="7"/>
      <c r="Q46" s="2"/>
      <c r="R46" s="8">
        <f t="shared" si="36"/>
        <v>0</v>
      </c>
      <c r="S46" s="2"/>
      <c r="T46" s="7">
        <v>78.599999999999994</v>
      </c>
      <c r="U46" s="2"/>
      <c r="V46" s="8">
        <f t="shared" si="37"/>
        <v>0</v>
      </c>
      <c r="W46" s="2"/>
      <c r="X46" s="7">
        <f t="shared" si="38"/>
        <v>-78.599999999999994</v>
      </c>
      <c r="Y46" s="2"/>
      <c r="Z46" s="8">
        <f t="shared" si="39"/>
        <v>-1</v>
      </c>
    </row>
    <row r="47" spans="1:26" s="24" customFormat="1" hidden="1" outlineLevel="2" x14ac:dyDescent="0.3">
      <c r="A47" s="27"/>
      <c r="B47" s="11" t="str">
        <f>CONCATENATE("          ", "6375", " - ", "OUTSIDE REPAIRS &amp; MAINTENANCE")</f>
        <v xml:space="preserve">          6375 - OUTSIDE REPAIRS &amp; MAINTENANCE</v>
      </c>
      <c r="C47" s="11"/>
      <c r="D47" s="7">
        <v>1079.81</v>
      </c>
      <c r="E47" s="2"/>
      <c r="F47" s="8">
        <f t="shared" si="32"/>
        <v>0</v>
      </c>
      <c r="G47" s="2"/>
      <c r="H47" s="7"/>
      <c r="I47" s="2"/>
      <c r="J47" s="8">
        <f t="shared" si="33"/>
        <v>0</v>
      </c>
      <c r="K47" s="2"/>
      <c r="L47" s="7">
        <f t="shared" si="34"/>
        <v>1079.81</v>
      </c>
      <c r="M47" s="2"/>
      <c r="N47" s="8">
        <f t="shared" si="35"/>
        <v>0</v>
      </c>
      <c r="O47" s="11"/>
      <c r="P47" s="7">
        <v>2031.28</v>
      </c>
      <c r="Q47" s="2"/>
      <c r="R47" s="8">
        <f t="shared" si="36"/>
        <v>0</v>
      </c>
      <c r="S47" s="2"/>
      <c r="T47" s="7"/>
      <c r="U47" s="2"/>
      <c r="V47" s="8">
        <f t="shared" si="37"/>
        <v>0</v>
      </c>
      <c r="W47" s="2"/>
      <c r="X47" s="7">
        <f t="shared" si="38"/>
        <v>2031.28</v>
      </c>
      <c r="Y47" s="2"/>
      <c r="Z47" s="8">
        <f t="shared" si="39"/>
        <v>0</v>
      </c>
    </row>
    <row r="48" spans="1:26" s="28" customFormat="1" outlineLevel="1" collapsed="1" x14ac:dyDescent="0.3">
      <c r="A48" s="29"/>
      <c r="B48" s="14" t="str">
        <f>CONCATENATE("     ","Services                                          ")</f>
        <v xml:space="preserve">     Services                                          </v>
      </c>
      <c r="C48" s="14"/>
      <c r="D48" s="1">
        <f>SUM(OSRRefD22_8x_0)</f>
        <v>260</v>
      </c>
      <c r="E48" s="1"/>
      <c r="F48" s="5">
        <f t="shared" ref="F48:F53" si="40">IF(D$12=0,0,D48/D$12)</f>
        <v>0</v>
      </c>
      <c r="G48" s="1"/>
      <c r="H48" s="1">
        <f>SUM(OSRRefH22_8x_0)</f>
        <v>0</v>
      </c>
      <c r="I48" s="1"/>
      <c r="J48" s="5">
        <f t="shared" ref="J48:J53" si="41">IF(H$12=0,0,H48/H$12)</f>
        <v>0</v>
      </c>
      <c r="K48" s="1"/>
      <c r="L48" s="1">
        <f t="shared" ref="L48:L53" si="42">+D48-H48</f>
        <v>260</v>
      </c>
      <c r="M48" s="1"/>
      <c r="N48" s="5">
        <f t="shared" ref="N48:N53" si="43">IF(H48=0,0,L48/H48)</f>
        <v>0</v>
      </c>
      <c r="O48" s="14"/>
      <c r="P48" s="1">
        <f>SUM(OSRRefP22_8x_0)</f>
        <v>260</v>
      </c>
      <c r="Q48" s="1"/>
      <c r="R48" s="5">
        <f t="shared" ref="R48:R53" si="44">IF(P$12=0,0,P48/P$12)</f>
        <v>0</v>
      </c>
      <c r="S48" s="1"/>
      <c r="T48" s="1">
        <f>SUM(OSRRefT22_8x_0)</f>
        <v>0</v>
      </c>
      <c r="U48" s="1"/>
      <c r="V48" s="5">
        <f t="shared" ref="V48:V53" si="45">IF(T$12=0,0,T48/T$12)</f>
        <v>0</v>
      </c>
      <c r="W48" s="1"/>
      <c r="X48" s="1">
        <f t="shared" ref="X48:X53" si="46">+P48-T48</f>
        <v>260</v>
      </c>
      <c r="Y48" s="1"/>
      <c r="Z48" s="5">
        <f t="shared" ref="Z48:Z53" si="47">IF(T48=0,0,X48/T48)</f>
        <v>0</v>
      </c>
    </row>
    <row r="49" spans="1:26" s="24" customFormat="1" hidden="1" outlineLevel="2" x14ac:dyDescent="0.3">
      <c r="A49" s="27"/>
      <c r="B49" s="11" t="str">
        <f>CONCATENATE("          ", "6285", " - ", "JANITORIAL SERVICES")</f>
        <v xml:space="preserve">          6285 - JANITORIAL SERVICES</v>
      </c>
      <c r="C49" s="11"/>
      <c r="D49" s="7">
        <v>260</v>
      </c>
      <c r="E49" s="2"/>
      <c r="F49" s="8">
        <f t="shared" si="40"/>
        <v>0</v>
      </c>
      <c r="G49" s="2"/>
      <c r="H49" s="7"/>
      <c r="I49" s="2"/>
      <c r="J49" s="8">
        <f t="shared" si="41"/>
        <v>0</v>
      </c>
      <c r="K49" s="2"/>
      <c r="L49" s="7">
        <f t="shared" si="42"/>
        <v>260</v>
      </c>
      <c r="M49" s="2"/>
      <c r="N49" s="8">
        <f t="shared" si="43"/>
        <v>0</v>
      </c>
      <c r="O49" s="11"/>
      <c r="P49" s="7">
        <v>260</v>
      </c>
      <c r="Q49" s="2"/>
      <c r="R49" s="8">
        <f t="shared" si="44"/>
        <v>0</v>
      </c>
      <c r="S49" s="2"/>
      <c r="T49" s="7"/>
      <c r="U49" s="2"/>
      <c r="V49" s="8">
        <f t="shared" si="45"/>
        <v>0</v>
      </c>
      <c r="W49" s="2"/>
      <c r="X49" s="7">
        <f t="shared" si="46"/>
        <v>260</v>
      </c>
      <c r="Y49" s="2"/>
      <c r="Z49" s="8">
        <f t="shared" si="47"/>
        <v>0</v>
      </c>
    </row>
    <row r="50" spans="1:26" s="28" customFormat="1" outlineLevel="1" collapsed="1" x14ac:dyDescent="0.3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SUM(OSRRefD22_9x_0)</f>
        <v>866.38</v>
      </c>
      <c r="E50" s="1"/>
      <c r="F50" s="5">
        <f t="shared" si="40"/>
        <v>0</v>
      </c>
      <c r="G50" s="1"/>
      <c r="H50" s="1">
        <f>SUM(OSRRefH22_9x_0)</f>
        <v>0</v>
      </c>
      <c r="I50" s="1"/>
      <c r="J50" s="5">
        <f t="shared" si="41"/>
        <v>0</v>
      </c>
      <c r="K50" s="1"/>
      <c r="L50" s="1">
        <f t="shared" si="42"/>
        <v>866.38</v>
      </c>
      <c r="M50" s="1"/>
      <c r="N50" s="5">
        <f t="shared" si="43"/>
        <v>0</v>
      </c>
      <c r="O50" s="14"/>
      <c r="P50" s="1">
        <f>SUM(OSRRefP22_9x_0)</f>
        <v>943.54</v>
      </c>
      <c r="Q50" s="1"/>
      <c r="R50" s="5">
        <f t="shared" si="44"/>
        <v>0</v>
      </c>
      <c r="S50" s="1"/>
      <c r="T50" s="1">
        <f>SUM(OSRRefT22_9x_0)</f>
        <v>0</v>
      </c>
      <c r="U50" s="1"/>
      <c r="V50" s="5">
        <f t="shared" si="45"/>
        <v>0</v>
      </c>
      <c r="W50" s="1"/>
      <c r="X50" s="1">
        <f t="shared" si="46"/>
        <v>943.54</v>
      </c>
      <c r="Y50" s="1"/>
      <c r="Z50" s="5">
        <f t="shared" si="47"/>
        <v>0</v>
      </c>
    </row>
    <row r="51" spans="1:26" s="24" customFormat="1" hidden="1" outlineLevel="2" x14ac:dyDescent="0.3">
      <c r="A51" s="27"/>
      <c r="B51" s="11" t="str">
        <f>CONCATENATE("          ", "6237", " - ", "JANITORIAL SUPPLIES")</f>
        <v xml:space="preserve">          6237 - JANITORIAL SUPPLIES</v>
      </c>
      <c r="C51" s="11"/>
      <c r="D51" s="7">
        <v>796.76</v>
      </c>
      <c r="E51" s="2"/>
      <c r="F51" s="8">
        <f t="shared" si="40"/>
        <v>0</v>
      </c>
      <c r="G51" s="2"/>
      <c r="H51" s="7"/>
      <c r="I51" s="2"/>
      <c r="J51" s="8">
        <f t="shared" si="41"/>
        <v>0</v>
      </c>
      <c r="K51" s="2"/>
      <c r="L51" s="7">
        <f t="shared" si="42"/>
        <v>796.76</v>
      </c>
      <c r="M51" s="2"/>
      <c r="N51" s="8">
        <f t="shared" si="43"/>
        <v>0</v>
      </c>
      <c r="O51" s="11"/>
      <c r="P51" s="7">
        <v>796.76</v>
      </c>
      <c r="Q51" s="2"/>
      <c r="R51" s="8">
        <f t="shared" si="44"/>
        <v>0</v>
      </c>
      <c r="S51" s="2"/>
      <c r="T51" s="7"/>
      <c r="U51" s="2"/>
      <c r="V51" s="8">
        <f t="shared" si="45"/>
        <v>0</v>
      </c>
      <c r="W51" s="2"/>
      <c r="X51" s="7">
        <f t="shared" si="46"/>
        <v>796.76</v>
      </c>
      <c r="Y51" s="2"/>
      <c r="Z51" s="8">
        <f t="shared" si="47"/>
        <v>0</v>
      </c>
    </row>
    <row r="52" spans="1:26" s="24" customFormat="1" hidden="1" outlineLevel="2" x14ac:dyDescent="0.3">
      <c r="A52" s="27"/>
      <c r="B52" s="11" t="str">
        <f>CONCATENATE("          ", "6239", " - ", "KITCHEN SUPPLIES")</f>
        <v xml:space="preserve">          6239 - KITCHEN SUPPLIES</v>
      </c>
      <c r="C52" s="11"/>
      <c r="D52" s="7">
        <v>69.62</v>
      </c>
      <c r="E52" s="2"/>
      <c r="F52" s="8">
        <f t="shared" si="40"/>
        <v>0</v>
      </c>
      <c r="G52" s="2"/>
      <c r="H52" s="7"/>
      <c r="I52" s="2"/>
      <c r="J52" s="8">
        <f t="shared" si="41"/>
        <v>0</v>
      </c>
      <c r="K52" s="2"/>
      <c r="L52" s="7">
        <f t="shared" si="42"/>
        <v>69.62</v>
      </c>
      <c r="M52" s="2"/>
      <c r="N52" s="8">
        <f t="shared" si="43"/>
        <v>0</v>
      </c>
      <c r="O52" s="11"/>
      <c r="P52" s="7">
        <v>69.62</v>
      </c>
      <c r="Q52" s="2"/>
      <c r="R52" s="8">
        <f t="shared" si="44"/>
        <v>0</v>
      </c>
      <c r="S52" s="2"/>
      <c r="T52" s="7"/>
      <c r="U52" s="2"/>
      <c r="V52" s="8">
        <f t="shared" si="45"/>
        <v>0</v>
      </c>
      <c r="W52" s="2"/>
      <c r="X52" s="7">
        <f t="shared" si="46"/>
        <v>69.62</v>
      </c>
      <c r="Y52" s="2"/>
      <c r="Z52" s="8">
        <f t="shared" si="47"/>
        <v>0</v>
      </c>
    </row>
    <row r="53" spans="1:26" s="24" customFormat="1" hidden="1" outlineLevel="2" x14ac:dyDescent="0.3">
      <c r="A53" s="27"/>
      <c r="B53" s="11" t="str">
        <f>CONCATENATE("          ", "6241", " - ", "OFFICE EXPENSE")</f>
        <v xml:space="preserve">          6241 - OFFICE EXPENSE</v>
      </c>
      <c r="C53" s="11"/>
      <c r="D53" s="7"/>
      <c r="E53" s="2"/>
      <c r="F53" s="8">
        <f t="shared" si="40"/>
        <v>0</v>
      </c>
      <c r="G53" s="2"/>
      <c r="H53" s="7"/>
      <c r="I53" s="2"/>
      <c r="J53" s="8">
        <f t="shared" si="41"/>
        <v>0</v>
      </c>
      <c r="K53" s="2"/>
      <c r="L53" s="7">
        <f t="shared" si="42"/>
        <v>0</v>
      </c>
      <c r="M53" s="2"/>
      <c r="N53" s="8">
        <f t="shared" si="43"/>
        <v>0</v>
      </c>
      <c r="O53" s="11"/>
      <c r="P53" s="7">
        <v>77.16</v>
      </c>
      <c r="Q53" s="2"/>
      <c r="R53" s="8">
        <f t="shared" si="44"/>
        <v>0</v>
      </c>
      <c r="S53" s="2"/>
      <c r="T53" s="7"/>
      <c r="U53" s="2"/>
      <c r="V53" s="8">
        <f t="shared" si="45"/>
        <v>0</v>
      </c>
      <c r="W53" s="2"/>
      <c r="X53" s="7">
        <f t="shared" si="46"/>
        <v>77.16</v>
      </c>
      <c r="Y53" s="2"/>
      <c r="Z53" s="8">
        <f t="shared" si="47"/>
        <v>0</v>
      </c>
    </row>
    <row r="54" spans="1:26" s="28" customFormat="1" outlineLevel="1" collapsed="1" x14ac:dyDescent="0.3">
      <c r="A54" s="29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SUM(OSRRefD22_10x_0)</f>
        <v>0</v>
      </c>
      <c r="E54" s="1"/>
      <c r="F54" s="5">
        <f t="shared" ref="F54:F55" si="48">IF(D$12=0,0,D54/D$12)</f>
        <v>0</v>
      </c>
      <c r="G54" s="1"/>
      <c r="H54" s="1">
        <f>SUM(OSRRefH22_10x_0)</f>
        <v>106</v>
      </c>
      <c r="I54" s="1"/>
      <c r="J54" s="5">
        <f t="shared" ref="J54:J55" si="49">IF(H$12=0,0,H54/H$12)</f>
        <v>0</v>
      </c>
      <c r="K54" s="1"/>
      <c r="L54" s="1">
        <f t="shared" ref="L54:L55" si="50">+D54-H54</f>
        <v>-106</v>
      </c>
      <c r="M54" s="1"/>
      <c r="N54" s="5">
        <f t="shared" ref="N54:N55" si="51">IF(H54=0,0,L54/H54)</f>
        <v>-1</v>
      </c>
      <c r="O54" s="14"/>
      <c r="P54" s="1">
        <f>SUM(OSRRefP22_10x_0)</f>
        <v>75</v>
      </c>
      <c r="Q54" s="1"/>
      <c r="R54" s="5">
        <f t="shared" ref="R54:R55" si="52">IF(P$12=0,0,P54/P$12)</f>
        <v>0</v>
      </c>
      <c r="S54" s="1"/>
      <c r="T54" s="1">
        <f>SUM(OSRRefT22_10x_0)</f>
        <v>212</v>
      </c>
      <c r="U54" s="1"/>
      <c r="V54" s="5">
        <f t="shared" ref="V54:V55" si="53">IF(T$12=0,0,T54/T$12)</f>
        <v>0</v>
      </c>
      <c r="W54" s="1"/>
      <c r="X54" s="1">
        <f t="shared" ref="X54:X55" si="54">+P54-T54</f>
        <v>-137</v>
      </c>
      <c r="Y54" s="1"/>
      <c r="Z54" s="5">
        <f t="shared" ref="Z54:Z55" si="55">IF(T54=0,0,X54/T54)</f>
        <v>-0.64622641509433965</v>
      </c>
    </row>
    <row r="55" spans="1:26" s="24" customFormat="1" hidden="1" outlineLevel="2" x14ac:dyDescent="0.3">
      <c r="A55" s="27"/>
      <c r="B55" s="11" t="str">
        <f>CONCATENATE("          ", "6309", " - ", "TELEPHONE")</f>
        <v xml:space="preserve">          6309 - TELEPHONE</v>
      </c>
      <c r="C55" s="11"/>
      <c r="D55" s="7">
        <v>0</v>
      </c>
      <c r="E55" s="2"/>
      <c r="F55" s="8">
        <f t="shared" si="48"/>
        <v>0</v>
      </c>
      <c r="G55" s="2"/>
      <c r="H55" s="7">
        <v>106</v>
      </c>
      <c r="I55" s="2"/>
      <c r="J55" s="8">
        <f t="shared" si="49"/>
        <v>0</v>
      </c>
      <c r="K55" s="2"/>
      <c r="L55" s="7">
        <f t="shared" si="50"/>
        <v>-106</v>
      </c>
      <c r="M55" s="2"/>
      <c r="N55" s="8">
        <f t="shared" si="51"/>
        <v>-1</v>
      </c>
      <c r="O55" s="11"/>
      <c r="P55" s="7">
        <v>75</v>
      </c>
      <c r="Q55" s="2"/>
      <c r="R55" s="8">
        <f t="shared" si="52"/>
        <v>0</v>
      </c>
      <c r="S55" s="2"/>
      <c r="T55" s="7">
        <v>212</v>
      </c>
      <c r="U55" s="2"/>
      <c r="V55" s="8">
        <f t="shared" si="53"/>
        <v>0</v>
      </c>
      <c r="W55" s="2"/>
      <c r="X55" s="7">
        <f t="shared" si="54"/>
        <v>-137</v>
      </c>
      <c r="Y55" s="2"/>
      <c r="Z55" s="8">
        <f t="shared" si="55"/>
        <v>-0.64622641509433965</v>
      </c>
    </row>
    <row r="56" spans="1:26" s="61" customFormat="1" x14ac:dyDescent="0.3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collapsed="1" x14ac:dyDescent="0.3">
      <c r="A57" s="10"/>
      <c r="B57" s="26" t="s">
        <v>292</v>
      </c>
      <c r="C57" s="10"/>
      <c r="D57" s="4">
        <f>SUM(OSRRefD25x_0)</f>
        <v>0</v>
      </c>
      <c r="E57" s="4"/>
      <c r="F57" s="12">
        <f t="shared" ref="F57:F58" si="56">IF(D$12=0,0,D57/D$12)</f>
        <v>0</v>
      </c>
      <c r="G57" s="4"/>
      <c r="H57" s="4">
        <f>SUM(OSRRefH25x_0)</f>
        <v>111.42</v>
      </c>
      <c r="I57" s="4"/>
      <c r="J57" s="12">
        <f t="shared" ref="J57:J58" si="57">IF(H$12=0,0,H57/H$12)</f>
        <v>0</v>
      </c>
      <c r="K57" s="4"/>
      <c r="L57" s="4">
        <f t="shared" ref="L57:L58" si="58">+D57-H57</f>
        <v>-111.42</v>
      </c>
      <c r="M57" s="4"/>
      <c r="N57" s="12">
        <f t="shared" ref="N57:N58" si="59">IF(H57=0,0,L57/H57)</f>
        <v>-1</v>
      </c>
      <c r="O57" s="10"/>
      <c r="P57" s="4">
        <f>SUM(OSRRefP25x_0)</f>
        <v>0</v>
      </c>
      <c r="Q57" s="4"/>
      <c r="R57" s="12">
        <f t="shared" ref="R57:R58" si="60">IF(P$12=0,0,P57/P$12)</f>
        <v>0</v>
      </c>
      <c r="S57" s="4"/>
      <c r="T57" s="4">
        <f>SUM(OSRRefT25x_0)</f>
        <v>111.42</v>
      </c>
      <c r="U57" s="4"/>
      <c r="V57" s="12">
        <f t="shared" ref="V57:V58" si="61">IF(T$12=0,0,T57/T$12)</f>
        <v>0</v>
      </c>
      <c r="W57" s="4"/>
      <c r="X57" s="4">
        <f t="shared" ref="X57:X58" si="62">+P57-T57</f>
        <v>-111.42</v>
      </c>
      <c r="Y57" s="4"/>
      <c r="Z57" s="12">
        <f t="shared" ref="Z57:Z58" si="63">IF(T57=0,0,X57/T57)</f>
        <v>-1</v>
      </c>
    </row>
    <row r="58" spans="1:26" s="24" customFormat="1" hidden="1" outlineLevel="1" x14ac:dyDescent="0.3">
      <c r="A58" s="44"/>
      <c r="B58" s="11" t="str">
        <f>CONCATENATE("          ", "9150", " - ", "MISC. INCOME")</f>
        <v xml:space="preserve">          9150 - MISC. INCOME</v>
      </c>
      <c r="C58" s="11"/>
      <c r="D58" s="2">
        <f>0</f>
        <v>0</v>
      </c>
      <c r="E58" s="2"/>
      <c r="F58" s="19">
        <f t="shared" si="56"/>
        <v>0</v>
      </c>
      <c r="G58" s="2"/>
      <c r="H58" s="2">
        <f>--111.42</f>
        <v>111.42</v>
      </c>
      <c r="I58" s="2"/>
      <c r="J58" s="19">
        <f t="shared" si="57"/>
        <v>0</v>
      </c>
      <c r="K58" s="2"/>
      <c r="L58" s="2">
        <f t="shared" si="58"/>
        <v>-111.42</v>
      </c>
      <c r="M58" s="2"/>
      <c r="N58" s="19">
        <f t="shared" si="59"/>
        <v>-1</v>
      </c>
      <c r="O58" s="11"/>
      <c r="P58" s="2">
        <f>0</f>
        <v>0</v>
      </c>
      <c r="Q58" s="2"/>
      <c r="R58" s="19">
        <f t="shared" si="60"/>
        <v>0</v>
      </c>
      <c r="S58" s="2"/>
      <c r="T58" s="2">
        <f>--111.42</f>
        <v>111.42</v>
      </c>
      <c r="U58" s="2"/>
      <c r="V58" s="19">
        <f t="shared" si="61"/>
        <v>0</v>
      </c>
      <c r="W58" s="2"/>
      <c r="X58" s="2">
        <f t="shared" si="62"/>
        <v>-111.42</v>
      </c>
      <c r="Y58" s="2"/>
      <c r="Z58" s="19">
        <f t="shared" si="63"/>
        <v>-1</v>
      </c>
    </row>
    <row r="59" spans="1:26" x14ac:dyDescent="0.3">
      <c r="A59" s="9"/>
      <c r="B59" s="10"/>
      <c r="C59" s="10"/>
      <c r="D59" s="3"/>
      <c r="E59" s="3"/>
      <c r="F59" s="6"/>
      <c r="G59" s="3"/>
      <c r="H59" s="3"/>
      <c r="I59" s="3"/>
      <c r="J59" s="6"/>
      <c r="K59" s="3"/>
      <c r="L59" s="3"/>
      <c r="M59" s="3"/>
      <c r="N59" s="6"/>
      <c r="O59" s="10"/>
      <c r="P59" s="3"/>
      <c r="Q59" s="3"/>
      <c r="R59" s="6"/>
      <c r="S59" s="3"/>
      <c r="T59" s="3"/>
      <c r="U59" s="3"/>
      <c r="V59" s="6"/>
      <c r="W59" s="3"/>
      <c r="X59" s="3"/>
      <c r="Y59" s="3"/>
      <c r="Z59" s="6"/>
    </row>
    <row r="60" spans="1:26" s="23" customFormat="1" x14ac:dyDescent="0.3">
      <c r="A60" s="10"/>
      <c r="B60" s="25" t="s">
        <v>276</v>
      </c>
      <c r="C60" s="25"/>
      <c r="D60" s="20">
        <f>+D17-D19+D57</f>
        <v>-24730.709999999995</v>
      </c>
      <c r="E60" s="13"/>
      <c r="F60" s="22">
        <f>IF(D$12=0,0,D60/D$12)</f>
        <v>0</v>
      </c>
      <c r="G60" s="13"/>
      <c r="H60" s="20">
        <f>+H17-H19+H57</f>
        <v>-7250.7300000000005</v>
      </c>
      <c r="I60" s="13"/>
      <c r="J60" s="22">
        <f>IF(H$12=0,0,H60/H$12)</f>
        <v>0</v>
      </c>
      <c r="K60" s="15"/>
      <c r="L60" s="20">
        <f>+D60-H60</f>
        <v>-17479.979999999996</v>
      </c>
      <c r="M60" s="15"/>
      <c r="N60" s="22">
        <f>IF(H60=0,0,L60/H60)</f>
        <v>2.4107889826265763</v>
      </c>
      <c r="O60" s="26"/>
      <c r="P60" s="20">
        <f>+P17-P19+P57</f>
        <v>-46492.010000000009</v>
      </c>
      <c r="Q60" s="13"/>
      <c r="R60" s="22">
        <f>IF(P$12=0,0,P60/P$12)</f>
        <v>0</v>
      </c>
      <c r="S60" s="13"/>
      <c r="T60" s="20">
        <f>+T17-T19+T57</f>
        <v>-24318.2</v>
      </c>
      <c r="U60" s="13"/>
      <c r="V60" s="22">
        <f>IF(T$12=0,0,T60/T$12)</f>
        <v>0</v>
      </c>
      <c r="W60" s="15"/>
      <c r="X60" s="20">
        <f>+P60-T60</f>
        <v>-22173.810000000009</v>
      </c>
      <c r="Y60" s="15"/>
      <c r="Z60" s="22">
        <f>IF(T60=0,0,X60/T60)</f>
        <v>0.91181954256482833</v>
      </c>
    </row>
    <row r="61" spans="1:26" x14ac:dyDescent="0.3">
      <c r="A61" s="9"/>
      <c r="B61" s="10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x14ac:dyDescent="0.3">
      <c r="A62" s="51"/>
      <c r="B62" s="10" t="s">
        <v>127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3">
      <c r="A63" s="9"/>
      <c r="B63" s="10"/>
      <c r="C63" s="10"/>
      <c r="D63" s="3"/>
      <c r="E63" s="3"/>
      <c r="F63" s="6"/>
      <c r="G63" s="3"/>
      <c r="H63" s="3"/>
      <c r="I63" s="3"/>
      <c r="J63" s="6"/>
      <c r="K63" s="3"/>
      <c r="L63" s="3"/>
      <c r="M63" s="3"/>
      <c r="N63" s="6"/>
      <c r="O63" s="10"/>
      <c r="P63" s="3"/>
      <c r="Q63" s="3"/>
      <c r="R63" s="6"/>
      <c r="S63" s="3"/>
      <c r="T63" s="3"/>
      <c r="U63" s="3"/>
      <c r="V63" s="6"/>
      <c r="W63" s="3"/>
      <c r="X63" s="3"/>
      <c r="Y63" s="3"/>
      <c r="Z63" s="6"/>
    </row>
    <row r="64" spans="1:26" s="23" customFormat="1" ht="15" thickBot="1" x14ac:dyDescent="0.35">
      <c r="A64" s="10"/>
      <c r="B64" s="25" t="s">
        <v>125</v>
      </c>
      <c r="C64" s="25"/>
      <c r="D64" s="33">
        <f>+D60-D62</f>
        <v>-24730.709999999995</v>
      </c>
      <c r="E64" s="13"/>
      <c r="F64" s="36">
        <f>IF(D$12=0,0,D64/D$12)</f>
        <v>0</v>
      </c>
      <c r="G64" s="13"/>
      <c r="H64" s="33">
        <f>+H60-H62</f>
        <v>-7250.7300000000005</v>
      </c>
      <c r="I64" s="13"/>
      <c r="J64" s="36">
        <f>IF(H$12=0,0,H64/H$12)</f>
        <v>0</v>
      </c>
      <c r="K64" s="15"/>
      <c r="L64" s="33">
        <f>D64-H64</f>
        <v>-17479.979999999996</v>
      </c>
      <c r="M64" s="15"/>
      <c r="N64" s="36">
        <f>IF(H64=0,0,L64/H64)</f>
        <v>2.4107889826265763</v>
      </c>
      <c r="O64" s="26"/>
      <c r="P64" s="33">
        <f>+P60-P62</f>
        <v>-46492.010000000009</v>
      </c>
      <c r="Q64" s="13"/>
      <c r="R64" s="36">
        <f>IF(P$12=0,0,P64/P$12)</f>
        <v>0</v>
      </c>
      <c r="S64" s="13"/>
      <c r="T64" s="33">
        <f>+T60-T62</f>
        <v>-24318.2</v>
      </c>
      <c r="U64" s="13"/>
      <c r="V64" s="36">
        <f>IF(T$12=0,0,T64/T$12)</f>
        <v>0</v>
      </c>
      <c r="W64" s="15"/>
      <c r="X64" s="33">
        <f>P64-T64</f>
        <v>-22173.810000000009</v>
      </c>
      <c r="Y64" s="15"/>
      <c r="Z64" s="36">
        <f>IF(T64=0,0,X64/T64)</f>
        <v>0.91181954256482833</v>
      </c>
    </row>
    <row r="65" spans="1:26" ht="15" thickTop="1" x14ac:dyDescent="0.3">
      <c r="A65" s="9"/>
      <c r="B65" s="9"/>
      <c r="C65" s="9"/>
      <c r="D65" s="3"/>
      <c r="E65" s="3"/>
      <c r="F65" s="6"/>
      <c r="G65" s="3"/>
      <c r="H65" s="3"/>
      <c r="I65" s="3"/>
      <c r="J65" s="6"/>
      <c r="K65" s="3"/>
      <c r="L65" s="3"/>
      <c r="M65" s="3"/>
      <c r="N65" s="6"/>
      <c r="P65" s="3"/>
      <c r="Q65" s="3"/>
      <c r="R65" s="6"/>
      <c r="S65" s="3"/>
      <c r="T65" s="3"/>
      <c r="U65" s="3"/>
      <c r="V65" s="6"/>
      <c r="W65" s="3"/>
      <c r="X65" s="3"/>
      <c r="Y65" s="3"/>
      <c r="Z65" s="6"/>
    </row>
    <row r="66" spans="1:26" x14ac:dyDescent="0.3">
      <c r="A66" s="9"/>
      <c r="B66" s="9"/>
      <c r="C66" s="9"/>
      <c r="D66" s="3"/>
      <c r="E66" s="3"/>
      <c r="F66" s="6"/>
      <c r="G66" s="3"/>
      <c r="H66" s="3"/>
      <c r="I66" s="3"/>
      <c r="J66" s="6"/>
      <c r="K66" s="3"/>
      <c r="L66" s="3"/>
      <c r="M66" s="3"/>
      <c r="N66" s="6"/>
      <c r="P66" s="3"/>
      <c r="Q66" s="3"/>
      <c r="R66" s="6"/>
      <c r="S66" s="3"/>
      <c r="T66" s="3"/>
      <c r="U66" s="3"/>
      <c r="V66" s="6"/>
      <c r="W66" s="3"/>
      <c r="X66" s="3"/>
      <c r="Y66" s="3"/>
      <c r="Z66" s="6"/>
    </row>
    <row r="67" spans="1:26" s="23" customFormat="1" ht="15" thickBot="1" x14ac:dyDescent="0.35">
      <c r="A67" s="10"/>
      <c r="B67" s="25" t="s">
        <v>293</v>
      </c>
      <c r="C67" s="25"/>
      <c r="D67" s="30">
        <f>SUM(D64:D66)</f>
        <v>-24730.709999999995</v>
      </c>
      <c r="E67" s="13"/>
      <c r="F67" s="31">
        <f>IF(D$12=0,0,D67/D$12)</f>
        <v>0</v>
      </c>
      <c r="G67" s="13"/>
      <c r="H67" s="30">
        <f>SUM(H64:H66)</f>
        <v>-7250.7300000000005</v>
      </c>
      <c r="I67" s="13"/>
      <c r="J67" s="31">
        <f>IF(H$12=0,0,H67/H$12)</f>
        <v>0</v>
      </c>
      <c r="K67" s="15"/>
      <c r="L67" s="30">
        <f>+D67-H67</f>
        <v>-17479.979999999996</v>
      </c>
      <c r="M67" s="15"/>
      <c r="N67" s="31">
        <f>IF(H67=0,0,L67/H67)</f>
        <v>2.4107889826265763</v>
      </c>
      <c r="O67" s="26"/>
      <c r="P67" s="30">
        <f>SUM(P64:P66)</f>
        <v>-46492.010000000009</v>
      </c>
      <c r="Q67" s="13"/>
      <c r="R67" s="31">
        <f>IF(P$12=0,0,P67/P$12)</f>
        <v>0</v>
      </c>
      <c r="S67" s="13"/>
      <c r="T67" s="30">
        <f>SUM(T64:T66)</f>
        <v>-24318.2</v>
      </c>
      <c r="U67" s="13"/>
      <c r="V67" s="31">
        <f>IF(T$12=0,0,T67/T$12)</f>
        <v>0</v>
      </c>
      <c r="W67" s="15"/>
      <c r="X67" s="30">
        <f>+P67-T67</f>
        <v>-22173.810000000009</v>
      </c>
      <c r="Y67" s="15"/>
      <c r="Z67" s="31">
        <f>IF(T67=0,0,X67/T67)</f>
        <v>0.91181954256482833</v>
      </c>
    </row>
    <row r="68" spans="1:26" ht="15" thickTop="1" x14ac:dyDescent="0.3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3">
      <c r="A69" s="9"/>
      <c r="B69" s="59">
        <v>44470.840542939812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3">
      <c r="A70" s="9"/>
      <c r="B70" s="58" t="s">
        <v>56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3">
      <c r="A71" s="9"/>
      <c r="B71" s="5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3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","423", " - ", "Contract/Vending Revenue")</f>
        <v>Department 423 - Contract/Vending Revenue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7811.88</v>
      </c>
      <c r="E18" s="21"/>
      <c r="F18" s="32">
        <f t="shared" ref="F18:F21" si="0">IF(D$12=0,0,D18/D$12)</f>
        <v>0</v>
      </c>
      <c r="G18" s="21"/>
      <c r="H18" s="21">
        <f>SUM(OSRRefH22x_0)</f>
        <v>36</v>
      </c>
      <c r="I18" s="21"/>
      <c r="J18" s="32">
        <f t="shared" ref="J18:J21" si="1">IF(H$12=0,0,H18/H$12)</f>
        <v>0</v>
      </c>
      <c r="K18" s="4"/>
      <c r="L18" s="21">
        <f t="shared" ref="L18:L21" si="2">+D18-H18</f>
        <v>7775.88</v>
      </c>
      <c r="M18" s="4"/>
      <c r="N18" s="32">
        <f t="shared" ref="N18:N21" si="3">IF(H18=0,0,L18/H18)</f>
        <v>215.99666666666667</v>
      </c>
      <c r="O18" s="10"/>
      <c r="P18" s="21">
        <f>SUM(OSRRefP22x_0)</f>
        <v>7893.01</v>
      </c>
      <c r="Q18" s="21"/>
      <c r="R18" s="32">
        <f t="shared" ref="R18:R21" si="4">IF(P$12=0,0,P18/P$12)</f>
        <v>0</v>
      </c>
      <c r="S18" s="21"/>
      <c r="T18" s="21">
        <f>SUM(OSRRefT22x_0)</f>
        <v>2494.4299999999998</v>
      </c>
      <c r="U18" s="21"/>
      <c r="V18" s="32">
        <f t="shared" ref="V18:V21" si="5">IF(T$12=0,0,T18/T$12)</f>
        <v>0</v>
      </c>
      <c r="W18" s="4"/>
      <c r="X18" s="21">
        <f t="shared" ref="X18:X21" si="6">+P18-T18</f>
        <v>5398.58</v>
      </c>
      <c r="Y18" s="4"/>
      <c r="Z18" s="32">
        <f t="shared" ref="Z18:Z21" si="7">IF(T18=0,0,X18/T18)</f>
        <v>2.1642539578180187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8">
        <f t="shared" si="0"/>
        <v>0</v>
      </c>
      <c r="G20" s="2"/>
      <c r="H20" s="7"/>
      <c r="I20" s="2"/>
      <c r="J20" s="8">
        <f t="shared" si="1"/>
        <v>0</v>
      </c>
      <c r="K20" s="2"/>
      <c r="L20" s="7">
        <f t="shared" si="2"/>
        <v>0</v>
      </c>
      <c r="M20" s="2"/>
      <c r="N20" s="8">
        <f t="shared" si="3"/>
        <v>0</v>
      </c>
      <c r="O20" s="11"/>
      <c r="P20" s="7"/>
      <c r="Q20" s="2"/>
      <c r="R20" s="8">
        <f t="shared" si="4"/>
        <v>0</v>
      </c>
      <c r="S20" s="2"/>
      <c r="T20" s="7">
        <v>1868.2</v>
      </c>
      <c r="U20" s="2"/>
      <c r="V20" s="8">
        <f t="shared" si="5"/>
        <v>0</v>
      </c>
      <c r="W20" s="2"/>
      <c r="X20" s="7">
        <f t="shared" si="6"/>
        <v>-1868.2</v>
      </c>
      <c r="Y20" s="2"/>
      <c r="Z20" s="8">
        <f t="shared" si="7"/>
        <v>-1</v>
      </c>
    </row>
    <row r="21" spans="1:26" s="24" customFormat="1" hidden="1" outlineLevel="2" x14ac:dyDescent="0.3">
      <c r="A21" s="27"/>
      <c r="B21" s="11" t="str">
        <f>CONCATENATE("          ", "6115", " - ", "P.E.R.S.")</f>
        <v xml:space="preserve">          6115 - P.E.R.S.</v>
      </c>
      <c r="C21" s="11"/>
      <c r="D21" s="7"/>
      <c r="E21" s="2"/>
      <c r="F21" s="8">
        <f t="shared" si="0"/>
        <v>0</v>
      </c>
      <c r="G21" s="2"/>
      <c r="H21" s="7"/>
      <c r="I21" s="2"/>
      <c r="J21" s="8">
        <f t="shared" si="1"/>
        <v>0</v>
      </c>
      <c r="K21" s="2"/>
      <c r="L21" s="7">
        <f t="shared" si="2"/>
        <v>0</v>
      </c>
      <c r="M21" s="2"/>
      <c r="N21" s="8">
        <f t="shared" si="3"/>
        <v>0</v>
      </c>
      <c r="O21" s="11"/>
      <c r="P21" s="7"/>
      <c r="Q21" s="2"/>
      <c r="R21" s="8">
        <f t="shared" si="4"/>
        <v>0</v>
      </c>
      <c r="S21" s="2"/>
      <c r="T21" s="7">
        <v>610.53</v>
      </c>
      <c r="U21" s="2"/>
      <c r="V21" s="8">
        <f t="shared" si="5"/>
        <v>0</v>
      </c>
      <c r="W21" s="2"/>
      <c r="X21" s="7">
        <f t="shared" si="6"/>
        <v>-610.53</v>
      </c>
      <c r="Y21" s="2"/>
      <c r="Z21" s="8">
        <f t="shared" si="7"/>
        <v>-1</v>
      </c>
    </row>
    <row r="22" spans="1:26" s="28" customFormat="1" outlineLevel="1" collapsed="1" x14ac:dyDescent="0.3">
      <c r="A22" s="29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7489.93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7489.93</v>
      </c>
      <c r="M22" s="1"/>
      <c r="N22" s="5">
        <f t="shared" ref="N22:N27" si="11">IF(H22=0,0,L22/H22)</f>
        <v>0</v>
      </c>
      <c r="O22" s="14"/>
      <c r="P22" s="1">
        <f>SUM(OSRRefP22_1x_0)</f>
        <v>7489.93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7489.93</v>
      </c>
      <c r="Y22" s="1"/>
      <c r="Z22" s="5">
        <f t="shared" ref="Z22:Z27" si="15">IF(T22=0,0,X22/T22)</f>
        <v>0</v>
      </c>
    </row>
    <row r="23" spans="1:26" s="24" customFormat="1" hidden="1" outlineLevel="2" x14ac:dyDescent="0.3">
      <c r="A23" s="27"/>
      <c r="B23" s="11" t="str">
        <f>CONCATENATE("          ", "6279", " - ", "GENERAL EXPENSE")</f>
        <v xml:space="preserve">          6279 - GENERAL EXPENSE</v>
      </c>
      <c r="C23" s="11"/>
      <c r="D23" s="7">
        <v>7489.93</v>
      </c>
      <c r="E23" s="2"/>
      <c r="F23" s="8">
        <f t="shared" si="8"/>
        <v>0</v>
      </c>
      <c r="G23" s="2"/>
      <c r="H23" s="7"/>
      <c r="I23" s="2"/>
      <c r="J23" s="8">
        <f t="shared" si="9"/>
        <v>0</v>
      </c>
      <c r="K23" s="2"/>
      <c r="L23" s="7">
        <f t="shared" si="10"/>
        <v>7489.93</v>
      </c>
      <c r="M23" s="2"/>
      <c r="N23" s="8">
        <f t="shared" si="11"/>
        <v>0</v>
      </c>
      <c r="O23" s="11"/>
      <c r="P23" s="7">
        <v>7489.93</v>
      </c>
      <c r="Q23" s="2"/>
      <c r="R23" s="8">
        <f t="shared" si="12"/>
        <v>0</v>
      </c>
      <c r="S23" s="2"/>
      <c r="T23" s="7"/>
      <c r="U23" s="2"/>
      <c r="V23" s="8">
        <f t="shared" si="13"/>
        <v>0</v>
      </c>
      <c r="W23" s="2"/>
      <c r="X23" s="7">
        <f t="shared" si="14"/>
        <v>7489.93</v>
      </c>
      <c r="Y23" s="2"/>
      <c r="Z23" s="8">
        <f t="shared" si="15"/>
        <v>0</v>
      </c>
    </row>
    <row r="24" spans="1:26" s="28" customFormat="1" outlineLevel="1" collapsed="1" x14ac:dyDescent="0.3">
      <c r="A24" s="29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253.45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253.45</v>
      </c>
      <c r="M24" s="1"/>
      <c r="N24" s="5">
        <f t="shared" si="11"/>
        <v>0</v>
      </c>
      <c r="O24" s="14"/>
      <c r="P24" s="1">
        <f>SUM(OSRRefP22_2x_0)</f>
        <v>498.58</v>
      </c>
      <c r="Q24" s="1"/>
      <c r="R24" s="5">
        <f t="shared" si="12"/>
        <v>0</v>
      </c>
      <c r="S24" s="1"/>
      <c r="T24" s="1">
        <f>SUM(OSRRefT22_2x_0)</f>
        <v>-56.3</v>
      </c>
      <c r="U24" s="1"/>
      <c r="V24" s="5">
        <f t="shared" si="13"/>
        <v>0</v>
      </c>
      <c r="W24" s="1"/>
      <c r="X24" s="1">
        <f t="shared" si="14"/>
        <v>554.88</v>
      </c>
      <c r="Y24" s="1"/>
      <c r="Z24" s="5">
        <f t="shared" si="15"/>
        <v>-9.8557726465364119</v>
      </c>
    </row>
    <row r="25" spans="1:26" s="24" customFormat="1" hidden="1" outlineLevel="2" x14ac:dyDescent="0.3">
      <c r="A25" s="27"/>
      <c r="B25" s="11" t="str">
        <f>CONCATENATE("          ", "6241", " - ", "OFFICE EXPENSE")</f>
        <v xml:space="preserve">          6241 - OFFICE EXPENSE</v>
      </c>
      <c r="C25" s="11"/>
      <c r="D25" s="7">
        <v>253.45</v>
      </c>
      <c r="E25" s="2"/>
      <c r="F25" s="8">
        <f t="shared" si="8"/>
        <v>0</v>
      </c>
      <c r="G25" s="2"/>
      <c r="H25" s="7"/>
      <c r="I25" s="2"/>
      <c r="J25" s="8">
        <f t="shared" si="9"/>
        <v>0</v>
      </c>
      <c r="K25" s="2"/>
      <c r="L25" s="7">
        <f t="shared" si="10"/>
        <v>253.45</v>
      </c>
      <c r="M25" s="2"/>
      <c r="N25" s="8">
        <f t="shared" si="11"/>
        <v>0</v>
      </c>
      <c r="O25" s="11"/>
      <c r="P25" s="7">
        <v>498.58</v>
      </c>
      <c r="Q25" s="2"/>
      <c r="R25" s="8">
        <f t="shared" si="12"/>
        <v>0</v>
      </c>
      <c r="S25" s="2"/>
      <c r="T25" s="7">
        <v>-56.3</v>
      </c>
      <c r="U25" s="2"/>
      <c r="V25" s="8">
        <f t="shared" si="13"/>
        <v>0</v>
      </c>
      <c r="W25" s="2"/>
      <c r="X25" s="7">
        <f t="shared" si="14"/>
        <v>554.88</v>
      </c>
      <c r="Y25" s="2"/>
      <c r="Z25" s="8">
        <f t="shared" si="15"/>
        <v>-9.8557726465364119</v>
      </c>
    </row>
    <row r="26" spans="1:26" s="28" customFormat="1" outlineLevel="1" collapsed="1" x14ac:dyDescent="0.3">
      <c r="A26" s="29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68.5</v>
      </c>
      <c r="E26" s="1"/>
      <c r="F26" s="5">
        <f t="shared" si="8"/>
        <v>0</v>
      </c>
      <c r="G26" s="1"/>
      <c r="H26" s="1">
        <f>SUM(OSRRefH22_3x_0)</f>
        <v>36</v>
      </c>
      <c r="I26" s="1"/>
      <c r="J26" s="5">
        <f t="shared" si="9"/>
        <v>0</v>
      </c>
      <c r="K26" s="1"/>
      <c r="L26" s="1">
        <f t="shared" si="10"/>
        <v>32.5</v>
      </c>
      <c r="M26" s="1"/>
      <c r="N26" s="5">
        <f t="shared" si="11"/>
        <v>0.90277777777777779</v>
      </c>
      <c r="O26" s="14"/>
      <c r="P26" s="1">
        <f>SUM(OSRRefP22_3x_0)</f>
        <v>-95.5</v>
      </c>
      <c r="Q26" s="1"/>
      <c r="R26" s="5">
        <f t="shared" si="12"/>
        <v>0</v>
      </c>
      <c r="S26" s="1"/>
      <c r="T26" s="1">
        <f>SUM(OSRRefT22_3x_0)</f>
        <v>72</v>
      </c>
      <c r="U26" s="1"/>
      <c r="V26" s="5">
        <f t="shared" si="13"/>
        <v>0</v>
      </c>
      <c r="W26" s="1"/>
      <c r="X26" s="1">
        <f t="shared" si="14"/>
        <v>-167.5</v>
      </c>
      <c r="Y26" s="1"/>
      <c r="Z26" s="5">
        <f t="shared" si="15"/>
        <v>-2.3263888888888888</v>
      </c>
    </row>
    <row r="27" spans="1:26" s="24" customFormat="1" hidden="1" outlineLevel="2" x14ac:dyDescent="0.3">
      <c r="A27" s="27"/>
      <c r="B27" s="11" t="str">
        <f>CONCATENATE("          ", "6309", " - ", "TELEPHONE")</f>
        <v xml:space="preserve">          6309 - TELEPHONE</v>
      </c>
      <c r="C27" s="11"/>
      <c r="D27" s="7">
        <v>68.5</v>
      </c>
      <c r="E27" s="2"/>
      <c r="F27" s="8">
        <f t="shared" si="8"/>
        <v>0</v>
      </c>
      <c r="G27" s="2"/>
      <c r="H27" s="7">
        <v>36</v>
      </c>
      <c r="I27" s="2"/>
      <c r="J27" s="8">
        <f t="shared" si="9"/>
        <v>0</v>
      </c>
      <c r="K27" s="2"/>
      <c r="L27" s="7">
        <f t="shared" si="10"/>
        <v>32.5</v>
      </c>
      <c r="M27" s="2"/>
      <c r="N27" s="8">
        <f t="shared" si="11"/>
        <v>0.90277777777777779</v>
      </c>
      <c r="O27" s="11"/>
      <c r="P27" s="7">
        <v>-95.5</v>
      </c>
      <c r="Q27" s="2"/>
      <c r="R27" s="8">
        <f t="shared" si="12"/>
        <v>0</v>
      </c>
      <c r="S27" s="2"/>
      <c r="T27" s="7">
        <v>72</v>
      </c>
      <c r="U27" s="2"/>
      <c r="V27" s="8">
        <f t="shared" si="13"/>
        <v>0</v>
      </c>
      <c r="W27" s="2"/>
      <c r="X27" s="7">
        <f t="shared" si="14"/>
        <v>-167.5</v>
      </c>
      <c r="Y27" s="2"/>
      <c r="Z27" s="8">
        <f t="shared" si="15"/>
        <v>-2.3263888888888888</v>
      </c>
    </row>
    <row r="28" spans="1:26" s="61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6" t="s">
        <v>292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x14ac:dyDescent="0.3">
      <c r="A31" s="10"/>
      <c r="B31" s="25" t="s">
        <v>276</v>
      </c>
      <c r="C31" s="25"/>
      <c r="D31" s="20">
        <f>+D16-D18+D29</f>
        <v>-7811.88</v>
      </c>
      <c r="E31" s="13"/>
      <c r="F31" s="22">
        <f>IF(D$12=0,0,D31/D$12)</f>
        <v>0</v>
      </c>
      <c r="G31" s="13"/>
      <c r="H31" s="20">
        <f>+H16-H18+H29</f>
        <v>-36</v>
      </c>
      <c r="I31" s="13"/>
      <c r="J31" s="22">
        <f>IF(H$12=0,0,H31/H$12)</f>
        <v>0</v>
      </c>
      <c r="K31" s="15"/>
      <c r="L31" s="20">
        <f>+D31-H31</f>
        <v>-7775.88</v>
      </c>
      <c r="M31" s="15"/>
      <c r="N31" s="22">
        <f>IF(H31=0,0,L31/H31)</f>
        <v>215.99666666666667</v>
      </c>
      <c r="O31" s="26"/>
      <c r="P31" s="20">
        <f>+P16-P18+P29</f>
        <v>-7893.01</v>
      </c>
      <c r="Q31" s="13"/>
      <c r="R31" s="22">
        <f>IF(P$12=0,0,P31/P$12)</f>
        <v>0</v>
      </c>
      <c r="S31" s="13"/>
      <c r="T31" s="20">
        <f>+T16-T18+T29</f>
        <v>-2494.4299999999998</v>
      </c>
      <c r="U31" s="13"/>
      <c r="V31" s="22">
        <f>IF(T$12=0,0,T31/T$12)</f>
        <v>0</v>
      </c>
      <c r="W31" s="15"/>
      <c r="X31" s="20">
        <f>+P31-T31</f>
        <v>-5398.58</v>
      </c>
      <c r="Y31" s="15"/>
      <c r="Z31" s="22">
        <f>IF(T31=0,0,X31/T31)</f>
        <v>2.1642539578180187</v>
      </c>
    </row>
    <row r="32" spans="1:26" x14ac:dyDescent="0.3">
      <c r="A32" s="9"/>
      <c r="B32" s="10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127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3">
      <c r="A34" s="9"/>
      <c r="B34" s="10"/>
      <c r="C34" s="10"/>
      <c r="D34" s="3"/>
      <c r="E34" s="3"/>
      <c r="F34" s="6"/>
      <c r="G34" s="3"/>
      <c r="H34" s="3"/>
      <c r="I34" s="3"/>
      <c r="J34" s="6"/>
      <c r="K34" s="3"/>
      <c r="L34" s="3"/>
      <c r="M34" s="3"/>
      <c r="N34" s="6"/>
      <c r="O34" s="10"/>
      <c r="P34" s="3"/>
      <c r="Q34" s="3"/>
      <c r="R34" s="6"/>
      <c r="S34" s="3"/>
      <c r="T34" s="3"/>
      <c r="U34" s="3"/>
      <c r="V34" s="6"/>
      <c r="W34" s="3"/>
      <c r="X34" s="3"/>
      <c r="Y34" s="3"/>
      <c r="Z34" s="6"/>
    </row>
    <row r="35" spans="1:26" s="23" customFormat="1" ht="15" thickBot="1" x14ac:dyDescent="0.35">
      <c r="A35" s="10"/>
      <c r="B35" s="25" t="s">
        <v>125</v>
      </c>
      <c r="C35" s="25"/>
      <c r="D35" s="33">
        <f>+D31-D33</f>
        <v>-7811.88</v>
      </c>
      <c r="E35" s="13"/>
      <c r="F35" s="36">
        <f>IF(D$12=0,0,D35/D$12)</f>
        <v>0</v>
      </c>
      <c r="G35" s="13"/>
      <c r="H35" s="33">
        <f>+H31-H33</f>
        <v>-36</v>
      </c>
      <c r="I35" s="13"/>
      <c r="J35" s="36">
        <f>IF(H$12=0,0,H35/H$12)</f>
        <v>0</v>
      </c>
      <c r="K35" s="15"/>
      <c r="L35" s="33">
        <f>D35-H35</f>
        <v>-7775.88</v>
      </c>
      <c r="M35" s="15"/>
      <c r="N35" s="36">
        <f>IF(H35=0,0,L35/H35)</f>
        <v>215.99666666666667</v>
      </c>
      <c r="O35" s="26"/>
      <c r="P35" s="33">
        <f>+P31-P33</f>
        <v>-7893.01</v>
      </c>
      <c r="Q35" s="13"/>
      <c r="R35" s="36">
        <f>IF(P$12=0,0,P35/P$12)</f>
        <v>0</v>
      </c>
      <c r="S35" s="13"/>
      <c r="T35" s="33">
        <f>+T31-T33</f>
        <v>-2494.4299999999998</v>
      </c>
      <c r="U35" s="13"/>
      <c r="V35" s="36">
        <f>IF(T$12=0,0,T35/T$12)</f>
        <v>0</v>
      </c>
      <c r="W35" s="15"/>
      <c r="X35" s="33">
        <f>P35-T35</f>
        <v>-5398.58</v>
      </c>
      <c r="Y35" s="15"/>
      <c r="Z35" s="36">
        <f>IF(T35=0,0,X35/T35)</f>
        <v>2.1642539578180187</v>
      </c>
    </row>
    <row r="36" spans="1:26" ht="15" thickTop="1" x14ac:dyDescent="0.3">
      <c r="A36" s="9"/>
      <c r="B36" s="9"/>
      <c r="C36" s="9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x14ac:dyDescent="0.3">
      <c r="A37" s="9"/>
      <c r="B37" s="9"/>
      <c r="C37" s="9"/>
      <c r="D37" s="3"/>
      <c r="E37" s="3"/>
      <c r="F37" s="6"/>
      <c r="G37" s="3"/>
      <c r="H37" s="3"/>
      <c r="I37" s="3"/>
      <c r="J37" s="6"/>
      <c r="K37" s="3"/>
      <c r="L37" s="3"/>
      <c r="M37" s="3"/>
      <c r="N37" s="6"/>
      <c r="P37" s="3"/>
      <c r="Q37" s="3"/>
      <c r="R37" s="6"/>
      <c r="S37" s="3"/>
      <c r="T37" s="3"/>
      <c r="U37" s="3"/>
      <c r="V37" s="6"/>
      <c r="W37" s="3"/>
      <c r="X37" s="3"/>
      <c r="Y37" s="3"/>
      <c r="Z37" s="6"/>
    </row>
    <row r="38" spans="1:26" s="23" customFormat="1" ht="15" thickBot="1" x14ac:dyDescent="0.35">
      <c r="A38" s="10"/>
      <c r="B38" s="25" t="s">
        <v>293</v>
      </c>
      <c r="C38" s="25"/>
      <c r="D38" s="30">
        <f>SUM(D35:D37)</f>
        <v>-7811.88</v>
      </c>
      <c r="E38" s="13"/>
      <c r="F38" s="31">
        <f>IF(D$12=0,0,D38/D$12)</f>
        <v>0</v>
      </c>
      <c r="G38" s="13"/>
      <c r="H38" s="30">
        <f>SUM(H35:H37)</f>
        <v>-36</v>
      </c>
      <c r="I38" s="13"/>
      <c r="J38" s="31">
        <f>IF(H$12=0,0,H38/H$12)</f>
        <v>0</v>
      </c>
      <c r="K38" s="15"/>
      <c r="L38" s="30">
        <f>+D38-H38</f>
        <v>-7775.88</v>
      </c>
      <c r="M38" s="15"/>
      <c r="N38" s="31">
        <f>IF(H38=0,0,L38/H38)</f>
        <v>215.99666666666667</v>
      </c>
      <c r="O38" s="26"/>
      <c r="P38" s="30">
        <f>SUM(P35:P37)</f>
        <v>-7893.01</v>
      </c>
      <c r="Q38" s="13"/>
      <c r="R38" s="31">
        <f>IF(P$12=0,0,P38/P$12)</f>
        <v>0</v>
      </c>
      <c r="S38" s="13"/>
      <c r="T38" s="30">
        <f>SUM(T35:T37)</f>
        <v>-2494.4299999999998</v>
      </c>
      <c r="U38" s="13"/>
      <c r="V38" s="31">
        <f>IF(T$12=0,0,T38/T$12)</f>
        <v>0</v>
      </c>
      <c r="W38" s="15"/>
      <c r="X38" s="30">
        <f>+P38-T38</f>
        <v>-5398.58</v>
      </c>
      <c r="Y38" s="15"/>
      <c r="Z38" s="31">
        <f>IF(T38=0,0,X38/T38)</f>
        <v>2.1642539578180187</v>
      </c>
    </row>
    <row r="39" spans="1:26" ht="15" thickTop="1" x14ac:dyDescent="0.3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9">
        <v>44470.840542939812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8" t="s">
        <v>56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A42" s="9"/>
      <c r="B42" s="52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3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","424", " - ", "Blair Field")</f>
        <v>Department 424 - Blair Field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479.29</v>
      </c>
      <c r="E18" s="21"/>
      <c r="F18" s="32">
        <f t="shared" ref="F18:F26" si="0">IF(D$12=0,0,D18/D$12)</f>
        <v>0</v>
      </c>
      <c r="G18" s="21"/>
      <c r="H18" s="21">
        <f>SUM(OSRRefH22x_0)</f>
        <v>771.89</v>
      </c>
      <c r="I18" s="21"/>
      <c r="J18" s="32">
        <f t="shared" ref="J18:J26" si="1">IF(H$12=0,0,H18/H$12)</f>
        <v>0</v>
      </c>
      <c r="K18" s="4"/>
      <c r="L18" s="21">
        <f t="shared" ref="L18:L26" si="2">+D18-H18</f>
        <v>-292.59999999999997</v>
      </c>
      <c r="M18" s="4"/>
      <c r="N18" s="32">
        <f t="shared" ref="N18:N26" si="3">IF(H18=0,0,L18/H18)</f>
        <v>-0.37906955654303071</v>
      </c>
      <c r="O18" s="10"/>
      <c r="P18" s="21">
        <f>SUM(OSRRefP22x_0)</f>
        <v>958.58</v>
      </c>
      <c r="Q18" s="21"/>
      <c r="R18" s="32">
        <f t="shared" ref="R18:R26" si="4">IF(P$12=0,0,P18/P$12)</f>
        <v>0</v>
      </c>
      <c r="S18" s="21"/>
      <c r="T18" s="21">
        <f>SUM(OSRRefT22x_0)</f>
        <v>1984.74</v>
      </c>
      <c r="U18" s="21"/>
      <c r="V18" s="32">
        <f t="shared" ref="V18:V26" si="5">IF(T$12=0,0,T18/T$12)</f>
        <v>0</v>
      </c>
      <c r="W18" s="4"/>
      <c r="X18" s="21">
        <f t="shared" ref="X18:X26" si="6">+P18-T18</f>
        <v>-1026.1599999999999</v>
      </c>
      <c r="Y18" s="4"/>
      <c r="Z18" s="32">
        <f t="shared" ref="Z18:Z26" si="7">IF(T18=0,0,X18/T18)</f>
        <v>-0.51702489998689993</v>
      </c>
    </row>
    <row r="19" spans="1:26" s="28" customFormat="1" outlineLevel="1" collapsed="1" x14ac:dyDescent="0.3">
      <c r="A19" s="29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958.58</v>
      </c>
      <c r="Q19" s="1"/>
      <c r="R19" s="5">
        <f t="shared" si="4"/>
        <v>0</v>
      </c>
      <c r="S19" s="1"/>
      <c r="T19" s="1">
        <f>SUM(OSRRefT22_0x_0)</f>
        <v>958.58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8">
        <f t="shared" si="0"/>
        <v>0</v>
      </c>
      <c r="G20" s="2"/>
      <c r="H20" s="7">
        <v>479.29</v>
      </c>
      <c r="I20" s="2"/>
      <c r="J20" s="8">
        <f t="shared" si="1"/>
        <v>0</v>
      </c>
      <c r="K20" s="2"/>
      <c r="L20" s="7">
        <f t="shared" si="2"/>
        <v>0</v>
      </c>
      <c r="M20" s="2"/>
      <c r="N20" s="8">
        <f t="shared" si="3"/>
        <v>0</v>
      </c>
      <c r="O20" s="11"/>
      <c r="P20" s="7">
        <v>958.58</v>
      </c>
      <c r="Q20" s="2"/>
      <c r="R20" s="8">
        <f t="shared" si="4"/>
        <v>0</v>
      </c>
      <c r="S20" s="2"/>
      <c r="T20" s="7">
        <v>958.58</v>
      </c>
      <c r="U20" s="2"/>
      <c r="V20" s="8">
        <f t="shared" si="5"/>
        <v>0</v>
      </c>
      <c r="W20" s="2"/>
      <c r="X20" s="7">
        <f t="shared" si="6"/>
        <v>0</v>
      </c>
      <c r="Y20" s="2"/>
      <c r="Z20" s="8">
        <f t="shared" si="7"/>
        <v>0</v>
      </c>
    </row>
    <row r="21" spans="1:26" s="28" customFormat="1" outlineLevel="1" collapsed="1" x14ac:dyDescent="0.3">
      <c r="A21" s="29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519.54999999999995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7"/>
      <c r="E22" s="2"/>
      <c r="F22" s="8">
        <f t="shared" si="0"/>
        <v>0</v>
      </c>
      <c r="G22" s="2"/>
      <c r="H22" s="7"/>
      <c r="I22" s="2"/>
      <c r="J22" s="8">
        <f t="shared" si="1"/>
        <v>0</v>
      </c>
      <c r="K22" s="2"/>
      <c r="L22" s="7">
        <f t="shared" si="2"/>
        <v>0</v>
      </c>
      <c r="M22" s="2"/>
      <c r="N22" s="8">
        <f t="shared" si="3"/>
        <v>0</v>
      </c>
      <c r="O22" s="11"/>
      <c r="P22" s="7"/>
      <c r="Q22" s="2"/>
      <c r="R22" s="8">
        <f t="shared" si="4"/>
        <v>0</v>
      </c>
      <c r="S22" s="2"/>
      <c r="T22" s="7">
        <v>519.54999999999995</v>
      </c>
      <c r="U22" s="2"/>
      <c r="V22" s="8">
        <f t="shared" si="5"/>
        <v>0</v>
      </c>
      <c r="W22" s="2"/>
      <c r="X22" s="7">
        <f t="shared" si="6"/>
        <v>-519.54999999999995</v>
      </c>
      <c r="Y22" s="2"/>
      <c r="Z22" s="8">
        <f t="shared" si="7"/>
        <v>-1</v>
      </c>
    </row>
    <row r="23" spans="1:26" s="28" customFormat="1" outlineLevel="1" collapsed="1" x14ac:dyDescent="0.3">
      <c r="A23" s="29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78.599999999999994</v>
      </c>
      <c r="I23" s="1"/>
      <c r="J23" s="5">
        <f t="shared" si="1"/>
        <v>0</v>
      </c>
      <c r="K23" s="1"/>
      <c r="L23" s="1">
        <f t="shared" si="2"/>
        <v>-78.599999999999994</v>
      </c>
      <c r="M23" s="1"/>
      <c r="N23" s="5">
        <f t="shared" si="3"/>
        <v>-1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78.599999999999994</v>
      </c>
      <c r="U23" s="1"/>
      <c r="V23" s="5">
        <f t="shared" si="5"/>
        <v>0</v>
      </c>
      <c r="W23" s="1"/>
      <c r="X23" s="1">
        <f t="shared" si="6"/>
        <v>-78.599999999999994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8">
        <f t="shared" si="0"/>
        <v>0</v>
      </c>
      <c r="G24" s="2"/>
      <c r="H24" s="7">
        <v>78.599999999999994</v>
      </c>
      <c r="I24" s="2"/>
      <c r="J24" s="8">
        <f t="shared" si="1"/>
        <v>0</v>
      </c>
      <c r="K24" s="2"/>
      <c r="L24" s="7">
        <f t="shared" si="2"/>
        <v>-78.599999999999994</v>
      </c>
      <c r="M24" s="2"/>
      <c r="N24" s="8">
        <f t="shared" si="3"/>
        <v>-1</v>
      </c>
      <c r="O24" s="11"/>
      <c r="P24" s="7"/>
      <c r="Q24" s="2"/>
      <c r="R24" s="8">
        <f t="shared" si="4"/>
        <v>0</v>
      </c>
      <c r="S24" s="2"/>
      <c r="T24" s="7">
        <v>78.599999999999994</v>
      </c>
      <c r="U24" s="2"/>
      <c r="V24" s="8">
        <f t="shared" si="5"/>
        <v>0</v>
      </c>
      <c r="W24" s="2"/>
      <c r="X24" s="7">
        <f t="shared" si="6"/>
        <v>-78.599999999999994</v>
      </c>
      <c r="Y24" s="2"/>
      <c r="Z24" s="8">
        <f t="shared" si="7"/>
        <v>-1</v>
      </c>
    </row>
    <row r="25" spans="1:26" s="28" customFormat="1" outlineLevel="1" collapsed="1" x14ac:dyDescent="0.3">
      <c r="A25" s="29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214</v>
      </c>
      <c r="I25" s="1"/>
      <c r="J25" s="5">
        <f t="shared" si="1"/>
        <v>0</v>
      </c>
      <c r="K25" s="1"/>
      <c r="L25" s="1">
        <f t="shared" si="2"/>
        <v>-214</v>
      </c>
      <c r="M25" s="1"/>
      <c r="N25" s="5">
        <f t="shared" si="3"/>
        <v>-1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428.01</v>
      </c>
      <c r="U25" s="1"/>
      <c r="V25" s="5">
        <f t="shared" si="5"/>
        <v>0</v>
      </c>
      <c r="W25" s="1"/>
      <c r="X25" s="1">
        <f t="shared" si="6"/>
        <v>-428.01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1" t="str">
        <f>CONCATENATE("          ", "6309", " - ", "TELEPHONE")</f>
        <v xml:space="preserve">          6309 - TELEPHONE</v>
      </c>
      <c r="C26" s="11"/>
      <c r="D26" s="7"/>
      <c r="E26" s="2"/>
      <c r="F26" s="8">
        <f t="shared" si="0"/>
        <v>0</v>
      </c>
      <c r="G26" s="2"/>
      <c r="H26" s="7">
        <v>214</v>
      </c>
      <c r="I26" s="2"/>
      <c r="J26" s="8">
        <f t="shared" si="1"/>
        <v>0</v>
      </c>
      <c r="K26" s="2"/>
      <c r="L26" s="7">
        <f t="shared" si="2"/>
        <v>-214</v>
      </c>
      <c r="M26" s="2"/>
      <c r="N26" s="8">
        <f t="shared" si="3"/>
        <v>-1</v>
      </c>
      <c r="O26" s="11"/>
      <c r="P26" s="7"/>
      <c r="Q26" s="2"/>
      <c r="R26" s="8">
        <f t="shared" si="4"/>
        <v>0</v>
      </c>
      <c r="S26" s="2"/>
      <c r="T26" s="7">
        <v>428.01</v>
      </c>
      <c r="U26" s="2"/>
      <c r="V26" s="8">
        <f t="shared" si="5"/>
        <v>0</v>
      </c>
      <c r="W26" s="2"/>
      <c r="X26" s="7">
        <f t="shared" si="6"/>
        <v>-428.01</v>
      </c>
      <c r="Y26" s="2"/>
      <c r="Z26" s="8">
        <f t="shared" si="7"/>
        <v>-1</v>
      </c>
    </row>
    <row r="27" spans="1:26" s="61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6"/>
      <c r="G29" s="3"/>
      <c r="H29" s="3"/>
      <c r="I29" s="3"/>
      <c r="J29" s="6"/>
      <c r="K29" s="3"/>
      <c r="L29" s="3"/>
      <c r="M29" s="3"/>
      <c r="N29" s="6"/>
      <c r="O29" s="10"/>
      <c r="P29" s="3"/>
      <c r="Q29" s="3"/>
      <c r="R29" s="6"/>
      <c r="S29" s="3"/>
      <c r="T29" s="3"/>
      <c r="U29" s="3"/>
      <c r="V29" s="6"/>
      <c r="W29" s="3"/>
      <c r="X29" s="3"/>
      <c r="Y29" s="3"/>
      <c r="Z29" s="6"/>
    </row>
    <row r="30" spans="1:26" s="23" customFormat="1" x14ac:dyDescent="0.3">
      <c r="A30" s="10"/>
      <c r="B30" s="25" t="s">
        <v>276</v>
      </c>
      <c r="C30" s="25"/>
      <c r="D30" s="20">
        <f>+D16-D18+D28</f>
        <v>-479.29</v>
      </c>
      <c r="E30" s="13"/>
      <c r="F30" s="22">
        <f>IF(D$12=0,0,D30/D$12)</f>
        <v>0</v>
      </c>
      <c r="G30" s="13"/>
      <c r="H30" s="20">
        <f>+H16-H18+H28</f>
        <v>-771.89</v>
      </c>
      <c r="I30" s="13"/>
      <c r="J30" s="22">
        <f>IF(H$12=0,0,H30/H$12)</f>
        <v>0</v>
      </c>
      <c r="K30" s="15"/>
      <c r="L30" s="20">
        <f>+D30-H30</f>
        <v>292.59999999999997</v>
      </c>
      <c r="M30" s="15"/>
      <c r="N30" s="22">
        <f>IF(H30=0,0,L30/H30)</f>
        <v>-0.37906955654303071</v>
      </c>
      <c r="O30" s="26"/>
      <c r="P30" s="20">
        <f>+P16-P18+P28</f>
        <v>-958.58</v>
      </c>
      <c r="Q30" s="13"/>
      <c r="R30" s="22">
        <f>IF(P$12=0,0,P30/P$12)</f>
        <v>0</v>
      </c>
      <c r="S30" s="13"/>
      <c r="T30" s="20">
        <f>+T16-T18+T28</f>
        <v>-1984.74</v>
      </c>
      <c r="U30" s="13"/>
      <c r="V30" s="22">
        <f>IF(T$12=0,0,T30/T$12)</f>
        <v>0</v>
      </c>
      <c r="W30" s="15"/>
      <c r="X30" s="20">
        <f>+P30-T30</f>
        <v>1026.1599999999999</v>
      </c>
      <c r="Y30" s="15"/>
      <c r="Z30" s="22">
        <f>IF(T30=0,0,X30/T30)</f>
        <v>-0.51702489998689993</v>
      </c>
    </row>
    <row r="31" spans="1:26" x14ac:dyDescent="0.3">
      <c r="A31" s="9"/>
      <c r="B31" s="10"/>
      <c r="C31" s="9"/>
      <c r="D31" s="3"/>
      <c r="E31" s="3"/>
      <c r="F31" s="6"/>
      <c r="G31" s="3"/>
      <c r="H31" s="3"/>
      <c r="I31" s="3"/>
      <c r="J31" s="6"/>
      <c r="K31" s="3"/>
      <c r="L31" s="3"/>
      <c r="M31" s="3"/>
      <c r="N31" s="6"/>
      <c r="P31" s="3"/>
      <c r="Q31" s="3"/>
      <c r="R31" s="6"/>
      <c r="S31" s="3"/>
      <c r="T31" s="3"/>
      <c r="U31" s="3"/>
      <c r="V31" s="6"/>
      <c r="W31" s="3"/>
      <c r="X31" s="3"/>
      <c r="Y31" s="3"/>
      <c r="Z31" s="6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6"/>
      <c r="G33" s="3"/>
      <c r="H33" s="3"/>
      <c r="I33" s="3"/>
      <c r="J33" s="6"/>
      <c r="K33" s="3"/>
      <c r="L33" s="3"/>
      <c r="M33" s="3"/>
      <c r="N33" s="6"/>
      <c r="O33" s="10"/>
      <c r="P33" s="3"/>
      <c r="Q33" s="3"/>
      <c r="R33" s="6"/>
      <c r="S33" s="3"/>
      <c r="T33" s="3"/>
      <c r="U33" s="3"/>
      <c r="V33" s="6"/>
      <c r="W33" s="3"/>
      <c r="X33" s="3"/>
      <c r="Y33" s="3"/>
      <c r="Z33" s="6"/>
    </row>
    <row r="34" spans="1:26" s="23" customFormat="1" ht="15" thickBot="1" x14ac:dyDescent="0.35">
      <c r="A34" s="10"/>
      <c r="B34" s="25" t="s">
        <v>125</v>
      </c>
      <c r="C34" s="25"/>
      <c r="D34" s="33">
        <f>+D30-D32</f>
        <v>-479.29</v>
      </c>
      <c r="E34" s="13"/>
      <c r="F34" s="36">
        <f>IF(D$12=0,0,D34/D$12)</f>
        <v>0</v>
      </c>
      <c r="G34" s="13"/>
      <c r="H34" s="33">
        <f>+H30-H32</f>
        <v>-771.89</v>
      </c>
      <c r="I34" s="13"/>
      <c r="J34" s="36">
        <f>IF(H$12=0,0,H34/H$12)</f>
        <v>0</v>
      </c>
      <c r="K34" s="15"/>
      <c r="L34" s="33">
        <f>D34-H34</f>
        <v>292.59999999999997</v>
      </c>
      <c r="M34" s="15"/>
      <c r="N34" s="36">
        <f>IF(H34=0,0,L34/H34)</f>
        <v>-0.37906955654303071</v>
      </c>
      <c r="O34" s="26"/>
      <c r="P34" s="33">
        <f>+P30-P32</f>
        <v>-958.58</v>
      </c>
      <c r="Q34" s="13"/>
      <c r="R34" s="36">
        <f>IF(P$12=0,0,P34/P$12)</f>
        <v>0</v>
      </c>
      <c r="S34" s="13"/>
      <c r="T34" s="33">
        <f>+T30-T32</f>
        <v>-1984.74</v>
      </c>
      <c r="U34" s="13"/>
      <c r="V34" s="36">
        <f>IF(T$12=0,0,T34/T$12)</f>
        <v>0</v>
      </c>
      <c r="W34" s="15"/>
      <c r="X34" s="33">
        <f>P34-T34</f>
        <v>1026.1599999999999</v>
      </c>
      <c r="Y34" s="15"/>
      <c r="Z34" s="36">
        <f>IF(T34=0,0,X34/T34)</f>
        <v>-0.51702489998689993</v>
      </c>
    </row>
    <row r="35" spans="1:26" ht="15" thickTop="1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x14ac:dyDescent="0.3">
      <c r="A36" s="9"/>
      <c r="B36" s="9"/>
      <c r="C36" s="9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s="23" customFormat="1" ht="15" thickBot="1" x14ac:dyDescent="0.35">
      <c r="A37" s="10"/>
      <c r="B37" s="25" t="s">
        <v>293</v>
      </c>
      <c r="C37" s="25"/>
      <c r="D37" s="30">
        <f>SUM(D34:D36)</f>
        <v>-479.29</v>
      </c>
      <c r="E37" s="13"/>
      <c r="F37" s="31">
        <f>IF(D$12=0,0,D37/D$12)</f>
        <v>0</v>
      </c>
      <c r="G37" s="13"/>
      <c r="H37" s="30">
        <f>SUM(H34:H36)</f>
        <v>-771.89</v>
      </c>
      <c r="I37" s="13"/>
      <c r="J37" s="31">
        <f>IF(H$12=0,0,H37/H$12)</f>
        <v>0</v>
      </c>
      <c r="K37" s="15"/>
      <c r="L37" s="30">
        <f>+D37-H37</f>
        <v>292.59999999999997</v>
      </c>
      <c r="M37" s="15"/>
      <c r="N37" s="31">
        <f>IF(H37=0,0,L37/H37)</f>
        <v>-0.37906955654303071</v>
      </c>
      <c r="O37" s="26"/>
      <c r="P37" s="30">
        <f>SUM(P34:P36)</f>
        <v>-958.58</v>
      </c>
      <c r="Q37" s="13"/>
      <c r="R37" s="31">
        <f>IF(P$12=0,0,P37/P$12)</f>
        <v>0</v>
      </c>
      <c r="S37" s="13"/>
      <c r="T37" s="30">
        <f>SUM(T34:T36)</f>
        <v>-1984.74</v>
      </c>
      <c r="U37" s="13"/>
      <c r="V37" s="31">
        <f>IF(T$12=0,0,T37/T$12)</f>
        <v>0</v>
      </c>
      <c r="W37" s="15"/>
      <c r="X37" s="30">
        <f>+P37-T37</f>
        <v>1026.1599999999999</v>
      </c>
      <c r="Y37" s="15"/>
      <c r="Z37" s="31">
        <f>IF(T37=0,0,X37/T37)</f>
        <v>-0.51702489998689993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9">
        <v>44470.840542939812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8" t="s">
        <v>56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A41" s="9"/>
      <c r="B41" s="52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3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","425", " - ", "Events Center")</f>
        <v>Department 425 - Events Center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-1034.73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-1034.73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-1034.73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D12-D14</f>
        <v>0</v>
      </c>
      <c r="E17" s="13"/>
      <c r="F17" s="22">
        <f>IF(D$12=0,0,D17/D$12)</f>
        <v>0</v>
      </c>
      <c r="G17" s="13"/>
      <c r="H17" s="20">
        <f>H12-H14</f>
        <v>0</v>
      </c>
      <c r="I17" s="13"/>
      <c r="J17" s="22">
        <f>IF(H$12=0,0,H17/H$12)</f>
        <v>0</v>
      </c>
      <c r="K17" s="15"/>
      <c r="L17" s="20">
        <f>+D17-H17</f>
        <v>0</v>
      </c>
      <c r="M17" s="15"/>
      <c r="N17" s="22">
        <f>IF(H17=0,0,L17/H17)</f>
        <v>0</v>
      </c>
      <c r="O17" s="26"/>
      <c r="P17" s="20">
        <f>P12-P14</f>
        <v>1034.73</v>
      </c>
      <c r="Q17" s="13"/>
      <c r="R17" s="22">
        <f>IF(P$12=0,0,P17/P$12)</f>
        <v>0</v>
      </c>
      <c r="S17" s="13"/>
      <c r="T17" s="20">
        <f>T12-T14</f>
        <v>0</v>
      </c>
      <c r="U17" s="13"/>
      <c r="V17" s="22">
        <f>IF(T$12=0,0,T17/T$12)</f>
        <v>0</v>
      </c>
      <c r="W17" s="15"/>
      <c r="X17" s="20">
        <f>+P17-T17</f>
        <v>1034.73</v>
      </c>
      <c r="Y17" s="15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1000.91</v>
      </c>
      <c r="E19" s="21"/>
      <c r="F19" s="32">
        <f t="shared" ref="F19:F25" si="8">IF(D$12=0,0,D19/D$12)</f>
        <v>0</v>
      </c>
      <c r="G19" s="21"/>
      <c r="H19" s="21">
        <f>SUM(OSRRefH22x_0)</f>
        <v>1292.71</v>
      </c>
      <c r="I19" s="21"/>
      <c r="J19" s="32">
        <f t="shared" ref="J19:J25" si="9">IF(H$12=0,0,H19/H$12)</f>
        <v>0</v>
      </c>
      <c r="K19" s="4"/>
      <c r="L19" s="21">
        <f t="shared" ref="L19:L25" si="10">+D19-H19</f>
        <v>-291.80000000000007</v>
      </c>
      <c r="M19" s="4"/>
      <c r="N19" s="32">
        <f t="shared" ref="N19:N25" si="11">IF(H19=0,0,L19/H19)</f>
        <v>-0.22572734797441038</v>
      </c>
      <c r="O19" s="10"/>
      <c r="P19" s="21">
        <f>SUM(OSRRefP22x_0)</f>
        <v>2001.82</v>
      </c>
      <c r="Q19" s="21"/>
      <c r="R19" s="32">
        <f t="shared" ref="R19:R25" si="12">IF(P$12=0,0,P19/P$12)</f>
        <v>0</v>
      </c>
      <c r="S19" s="21"/>
      <c r="T19" s="21">
        <f>SUM(OSRRefT22x_0)</f>
        <v>5147.9799999999996</v>
      </c>
      <c r="U19" s="21"/>
      <c r="V19" s="32">
        <f t="shared" ref="V19:V25" si="13">IF(T$12=0,0,T19/T$12)</f>
        <v>0</v>
      </c>
      <c r="W19" s="4"/>
      <c r="X19" s="21">
        <f t="shared" ref="X19:X25" si="14">+P19-T19</f>
        <v>-3146.16</v>
      </c>
      <c r="Y19" s="4"/>
      <c r="Z19" s="32">
        <f t="shared" ref="Z19:Z25" si="15">IF(T19=0,0,X19/T19)</f>
        <v>-0.61114456544120221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1419.75</v>
      </c>
      <c r="U20" s="1"/>
      <c r="V20" s="5">
        <f t="shared" si="13"/>
        <v>0</v>
      </c>
      <c r="W20" s="1"/>
      <c r="X20" s="1">
        <f t="shared" si="14"/>
        <v>-1419.75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/>
      <c r="E21" s="2"/>
      <c r="F21" s="8">
        <f t="shared" si="8"/>
        <v>0</v>
      </c>
      <c r="G21" s="2"/>
      <c r="H21" s="7"/>
      <c r="I21" s="2"/>
      <c r="J21" s="8">
        <f t="shared" si="9"/>
        <v>0</v>
      </c>
      <c r="K21" s="2"/>
      <c r="L21" s="7">
        <f t="shared" si="10"/>
        <v>0</v>
      </c>
      <c r="M21" s="2"/>
      <c r="N21" s="8">
        <f t="shared" si="11"/>
        <v>0</v>
      </c>
      <c r="O21" s="11"/>
      <c r="P21" s="7"/>
      <c r="Q21" s="2"/>
      <c r="R21" s="8">
        <f t="shared" si="12"/>
        <v>0</v>
      </c>
      <c r="S21" s="2"/>
      <c r="T21" s="7">
        <v>170.79</v>
      </c>
      <c r="U21" s="2"/>
      <c r="V21" s="8">
        <f t="shared" si="13"/>
        <v>0</v>
      </c>
      <c r="W21" s="2"/>
      <c r="X21" s="7">
        <f t="shared" si="14"/>
        <v>-170.79</v>
      </c>
      <c r="Y21" s="2"/>
      <c r="Z21" s="8">
        <f t="shared" si="15"/>
        <v>-1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8">
        <f t="shared" si="8"/>
        <v>0</v>
      </c>
      <c r="G22" s="2"/>
      <c r="H22" s="7"/>
      <c r="I22" s="2"/>
      <c r="J22" s="8">
        <f t="shared" si="9"/>
        <v>0</v>
      </c>
      <c r="K22" s="2"/>
      <c r="L22" s="7">
        <f t="shared" si="10"/>
        <v>0</v>
      </c>
      <c r="M22" s="2"/>
      <c r="N22" s="8">
        <f t="shared" si="11"/>
        <v>0</v>
      </c>
      <c r="O22" s="11"/>
      <c r="P22" s="7"/>
      <c r="Q22" s="2"/>
      <c r="R22" s="8">
        <f t="shared" si="12"/>
        <v>0</v>
      </c>
      <c r="S22" s="2"/>
      <c r="T22" s="7">
        <v>699.3</v>
      </c>
      <c r="U22" s="2"/>
      <c r="V22" s="8">
        <f t="shared" si="13"/>
        <v>0</v>
      </c>
      <c r="W22" s="2"/>
      <c r="X22" s="7">
        <f t="shared" si="14"/>
        <v>-699.3</v>
      </c>
      <c r="Y22" s="2"/>
      <c r="Z22" s="8">
        <f t="shared" si="15"/>
        <v>-1</v>
      </c>
    </row>
    <row r="23" spans="1:26" s="24" customFormat="1" hidden="1" outlineLevel="2" x14ac:dyDescent="0.3">
      <c r="A23" s="27"/>
      <c r="B23" s="11" t="str">
        <f>CONCATENATE("          ", "6115", " - ", "P.E.R.S.")</f>
        <v xml:space="preserve">          6115 - P.E.R.S.</v>
      </c>
      <c r="C23" s="11"/>
      <c r="D23" s="7"/>
      <c r="E23" s="2"/>
      <c r="F23" s="8">
        <f t="shared" si="8"/>
        <v>0</v>
      </c>
      <c r="G23" s="2"/>
      <c r="H23" s="7"/>
      <c r="I23" s="2"/>
      <c r="J23" s="8">
        <f t="shared" si="9"/>
        <v>0</v>
      </c>
      <c r="K23" s="2"/>
      <c r="L23" s="7">
        <f t="shared" si="10"/>
        <v>0</v>
      </c>
      <c r="M23" s="2"/>
      <c r="N23" s="8">
        <f t="shared" si="11"/>
        <v>0</v>
      </c>
      <c r="O23" s="11"/>
      <c r="P23" s="7"/>
      <c r="Q23" s="2"/>
      <c r="R23" s="8">
        <f t="shared" si="12"/>
        <v>0</v>
      </c>
      <c r="S23" s="2"/>
      <c r="T23" s="7">
        <v>355.22</v>
      </c>
      <c r="U23" s="2"/>
      <c r="V23" s="8">
        <f t="shared" si="13"/>
        <v>0</v>
      </c>
      <c r="W23" s="2"/>
      <c r="X23" s="7">
        <f t="shared" si="14"/>
        <v>-355.22</v>
      </c>
      <c r="Y23" s="2"/>
      <c r="Z23" s="8">
        <f t="shared" si="15"/>
        <v>-1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7"/>
      <c r="E24" s="2"/>
      <c r="F24" s="8">
        <f t="shared" si="8"/>
        <v>0</v>
      </c>
      <c r="G24" s="2"/>
      <c r="H24" s="7"/>
      <c r="I24" s="2"/>
      <c r="J24" s="8">
        <f t="shared" si="9"/>
        <v>0</v>
      </c>
      <c r="K24" s="2"/>
      <c r="L24" s="7">
        <f t="shared" si="10"/>
        <v>0</v>
      </c>
      <c r="M24" s="2"/>
      <c r="N24" s="8">
        <f t="shared" si="11"/>
        <v>0</v>
      </c>
      <c r="O24" s="11"/>
      <c r="P24" s="7"/>
      <c r="Q24" s="2"/>
      <c r="R24" s="8">
        <f t="shared" si="12"/>
        <v>0</v>
      </c>
      <c r="S24" s="2"/>
      <c r="T24" s="7">
        <v>88.46</v>
      </c>
      <c r="U24" s="2"/>
      <c r="V24" s="8">
        <f t="shared" si="13"/>
        <v>0</v>
      </c>
      <c r="W24" s="2"/>
      <c r="X24" s="7">
        <f t="shared" si="14"/>
        <v>-88.46</v>
      </c>
      <c r="Y24" s="2"/>
      <c r="Z24" s="8">
        <f t="shared" si="15"/>
        <v>-1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7"/>
      <c r="E25" s="2"/>
      <c r="F25" s="8">
        <f t="shared" si="8"/>
        <v>0</v>
      </c>
      <c r="G25" s="2"/>
      <c r="H25" s="7"/>
      <c r="I25" s="2"/>
      <c r="J25" s="8">
        <f t="shared" si="9"/>
        <v>0</v>
      </c>
      <c r="K25" s="2"/>
      <c r="L25" s="7">
        <f t="shared" si="10"/>
        <v>0</v>
      </c>
      <c r="M25" s="2"/>
      <c r="N25" s="8">
        <f t="shared" si="11"/>
        <v>0</v>
      </c>
      <c r="O25" s="11"/>
      <c r="P25" s="7"/>
      <c r="Q25" s="2"/>
      <c r="R25" s="8">
        <f t="shared" si="12"/>
        <v>0</v>
      </c>
      <c r="S25" s="2"/>
      <c r="T25" s="7">
        <v>105.98</v>
      </c>
      <c r="U25" s="2"/>
      <c r="V25" s="8">
        <f t="shared" si="13"/>
        <v>0</v>
      </c>
      <c r="W25" s="2"/>
      <c r="X25" s="7">
        <f t="shared" si="14"/>
        <v>-105.98</v>
      </c>
      <c r="Y25" s="2"/>
      <c r="Z25" s="8">
        <f t="shared" si="15"/>
        <v>-1</v>
      </c>
    </row>
    <row r="26" spans="1:26" s="28" customFormat="1" outlineLevel="1" collapsed="1" x14ac:dyDescent="0.3">
      <c r="A26" s="29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3" si="16">IF(D$12=0,0,D26/D$12)</f>
        <v>0</v>
      </c>
      <c r="G26" s="1"/>
      <c r="H26" s="1">
        <f>SUM(OSRRefH22_1x_0)</f>
        <v>0</v>
      </c>
      <c r="I26" s="1"/>
      <c r="J26" s="5">
        <f t="shared" ref="J26:J33" si="17">IF(H$12=0,0,H26/H$12)</f>
        <v>0</v>
      </c>
      <c r="K26" s="1"/>
      <c r="L26" s="1">
        <f t="shared" ref="L26:L33" si="18">+D26-H26</f>
        <v>0</v>
      </c>
      <c r="M26" s="1"/>
      <c r="N26" s="5">
        <f t="shared" ref="N26:N33" si="19">IF(H26=0,0,L26/H26)</f>
        <v>0</v>
      </c>
      <c r="O26" s="14"/>
      <c r="P26" s="1">
        <f>SUM(OSRRefP22_1x_0)</f>
        <v>0</v>
      </c>
      <c r="Q26" s="1"/>
      <c r="R26" s="5">
        <f t="shared" ref="R26:R33" si="20">IF(P$12=0,0,P26/P$12)</f>
        <v>0</v>
      </c>
      <c r="S26" s="1"/>
      <c r="T26" s="1">
        <f>SUM(OSRRefT22_1x_0)</f>
        <v>1378.61</v>
      </c>
      <c r="U26" s="1"/>
      <c r="V26" s="5">
        <f t="shared" ref="V26:V33" si="21">IF(T$12=0,0,T26/T$12)</f>
        <v>0</v>
      </c>
      <c r="W26" s="1"/>
      <c r="X26" s="1">
        <f t="shared" ref="X26:X33" si="22">+P26-T26</f>
        <v>-1378.61</v>
      </c>
      <c r="Y26" s="1"/>
      <c r="Z26" s="5">
        <f t="shared" ref="Z26:Z33" si="23">IF(T26=0,0,X26/T26)</f>
        <v>-1</v>
      </c>
    </row>
    <row r="27" spans="1:26" s="24" customFormat="1" hidden="1" outlineLevel="2" x14ac:dyDescent="0.3">
      <c r="A27" s="27"/>
      <c r="B27" s="11" t="str">
        <f>CONCATENATE("          ", "6002", " - ", "STAFF SALARIES")</f>
        <v xml:space="preserve">          6002 - STAFF SALARIES</v>
      </c>
      <c r="C27" s="11"/>
      <c r="D27" s="7"/>
      <c r="E27" s="2"/>
      <c r="F27" s="8">
        <f t="shared" si="16"/>
        <v>0</v>
      </c>
      <c r="G27" s="2"/>
      <c r="H27" s="7"/>
      <c r="I27" s="2"/>
      <c r="J27" s="8">
        <f t="shared" si="17"/>
        <v>0</v>
      </c>
      <c r="K27" s="2"/>
      <c r="L27" s="7">
        <f t="shared" si="18"/>
        <v>0</v>
      </c>
      <c r="M27" s="2"/>
      <c r="N27" s="8">
        <f t="shared" si="19"/>
        <v>0</v>
      </c>
      <c r="O27" s="11"/>
      <c r="P27" s="7"/>
      <c r="Q27" s="2"/>
      <c r="R27" s="8">
        <f t="shared" si="20"/>
        <v>0</v>
      </c>
      <c r="S27" s="2"/>
      <c r="T27" s="7">
        <v>1378.61</v>
      </c>
      <c r="U27" s="2"/>
      <c r="V27" s="8">
        <f t="shared" si="21"/>
        <v>0</v>
      </c>
      <c r="W27" s="2"/>
      <c r="X27" s="7">
        <f t="shared" si="22"/>
        <v>-1378.61</v>
      </c>
      <c r="Y27" s="2"/>
      <c r="Z27" s="8">
        <f t="shared" si="23"/>
        <v>-1</v>
      </c>
    </row>
    <row r="28" spans="1:26" s="28" customFormat="1" outlineLevel="1" collapsed="1" x14ac:dyDescent="0.3">
      <c r="A28" s="29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1000.91</v>
      </c>
      <c r="E28" s="1"/>
      <c r="F28" s="5">
        <f t="shared" si="16"/>
        <v>0</v>
      </c>
      <c r="G28" s="1"/>
      <c r="H28" s="1">
        <f>SUM(OSRRefH22_2x_0)</f>
        <v>1000.91</v>
      </c>
      <c r="I28" s="1"/>
      <c r="J28" s="5">
        <f t="shared" si="17"/>
        <v>0</v>
      </c>
      <c r="K28" s="1"/>
      <c r="L28" s="1">
        <f t="shared" si="18"/>
        <v>0</v>
      </c>
      <c r="M28" s="1"/>
      <c r="N28" s="5">
        <f t="shared" si="19"/>
        <v>0</v>
      </c>
      <c r="O28" s="14"/>
      <c r="P28" s="1">
        <f>SUM(OSRRefP22_2x_0)</f>
        <v>2001.82</v>
      </c>
      <c r="Q28" s="1"/>
      <c r="R28" s="5">
        <f t="shared" si="20"/>
        <v>0</v>
      </c>
      <c r="S28" s="1"/>
      <c r="T28" s="1">
        <f>SUM(OSRRefT22_2x_0)</f>
        <v>2001.82</v>
      </c>
      <c r="U28" s="1"/>
      <c r="V28" s="5">
        <f t="shared" si="21"/>
        <v>0</v>
      </c>
      <c r="W28" s="1"/>
      <c r="X28" s="1">
        <f t="shared" si="22"/>
        <v>0</v>
      </c>
      <c r="Y28" s="1"/>
      <c r="Z28" s="5">
        <f t="shared" si="23"/>
        <v>0</v>
      </c>
    </row>
    <row r="29" spans="1:26" s="24" customFormat="1" hidden="1" outlineLevel="2" x14ac:dyDescent="0.3">
      <c r="A29" s="27"/>
      <c r="B29" s="11" t="str">
        <f>CONCATENATE("          ", "6322", " - ", "EQUIPMENT DEPRECIATION EXPENSE")</f>
        <v xml:space="preserve">          6322 - EQUIPMENT DEPRECIATION EXPENSE</v>
      </c>
      <c r="C29" s="11"/>
      <c r="D29" s="7">
        <v>1000.91</v>
      </c>
      <c r="E29" s="2"/>
      <c r="F29" s="8">
        <f t="shared" si="16"/>
        <v>0</v>
      </c>
      <c r="G29" s="2"/>
      <c r="H29" s="7">
        <v>1000.91</v>
      </c>
      <c r="I29" s="2"/>
      <c r="J29" s="8">
        <f t="shared" si="17"/>
        <v>0</v>
      </c>
      <c r="K29" s="2"/>
      <c r="L29" s="7">
        <f t="shared" si="18"/>
        <v>0</v>
      </c>
      <c r="M29" s="2"/>
      <c r="N29" s="8">
        <f t="shared" si="19"/>
        <v>0</v>
      </c>
      <c r="O29" s="11"/>
      <c r="P29" s="7">
        <v>2001.82</v>
      </c>
      <c r="Q29" s="2"/>
      <c r="R29" s="8">
        <f t="shared" si="20"/>
        <v>0</v>
      </c>
      <c r="S29" s="2"/>
      <c r="T29" s="7">
        <v>2001.82</v>
      </c>
      <c r="U29" s="2"/>
      <c r="V29" s="8">
        <f t="shared" si="21"/>
        <v>0</v>
      </c>
      <c r="W29" s="2"/>
      <c r="X29" s="7">
        <f t="shared" si="22"/>
        <v>0</v>
      </c>
      <c r="Y29" s="2"/>
      <c r="Z29" s="8">
        <f t="shared" si="23"/>
        <v>0</v>
      </c>
    </row>
    <row r="30" spans="1:26" s="28" customFormat="1" outlineLevel="1" collapsed="1" x14ac:dyDescent="0.3">
      <c r="A30" s="29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235.8</v>
      </c>
      <c r="I30" s="1"/>
      <c r="J30" s="5">
        <f t="shared" si="17"/>
        <v>0</v>
      </c>
      <c r="K30" s="1"/>
      <c r="L30" s="1">
        <f t="shared" si="18"/>
        <v>-235.8</v>
      </c>
      <c r="M30" s="1"/>
      <c r="N30" s="5">
        <f t="shared" si="19"/>
        <v>-1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235.8</v>
      </c>
      <c r="U30" s="1"/>
      <c r="V30" s="5">
        <f t="shared" si="21"/>
        <v>0</v>
      </c>
      <c r="W30" s="1"/>
      <c r="X30" s="1">
        <f t="shared" si="22"/>
        <v>-235.8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7"/>
      <c r="E31" s="2"/>
      <c r="F31" s="8">
        <f t="shared" si="16"/>
        <v>0</v>
      </c>
      <c r="G31" s="2"/>
      <c r="H31" s="7">
        <v>235.8</v>
      </c>
      <c r="I31" s="2"/>
      <c r="J31" s="8">
        <f t="shared" si="17"/>
        <v>0</v>
      </c>
      <c r="K31" s="2"/>
      <c r="L31" s="7">
        <f t="shared" si="18"/>
        <v>-235.8</v>
      </c>
      <c r="M31" s="2"/>
      <c r="N31" s="8">
        <f t="shared" si="19"/>
        <v>-1</v>
      </c>
      <c r="O31" s="11"/>
      <c r="P31" s="7"/>
      <c r="Q31" s="2"/>
      <c r="R31" s="8">
        <f t="shared" si="20"/>
        <v>0</v>
      </c>
      <c r="S31" s="2"/>
      <c r="T31" s="7">
        <v>235.8</v>
      </c>
      <c r="U31" s="2"/>
      <c r="V31" s="8">
        <f t="shared" si="21"/>
        <v>0</v>
      </c>
      <c r="W31" s="2"/>
      <c r="X31" s="7">
        <f t="shared" si="22"/>
        <v>-235.8</v>
      </c>
      <c r="Y31" s="2"/>
      <c r="Z31" s="8">
        <f t="shared" si="23"/>
        <v>-1</v>
      </c>
    </row>
    <row r="32" spans="1:26" s="28" customFormat="1" outlineLevel="1" collapsed="1" x14ac:dyDescent="0.3">
      <c r="A32" s="29"/>
      <c r="B32" s="14" t="str">
        <f>CONCATENATE("     ","Telephone/Data Lines                              ")</f>
        <v xml:space="preserve">     Telephone/Data Lines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56</v>
      </c>
      <c r="I32" s="1"/>
      <c r="J32" s="5">
        <f t="shared" si="17"/>
        <v>0</v>
      </c>
      <c r="K32" s="1"/>
      <c r="L32" s="1">
        <f t="shared" si="18"/>
        <v>-56</v>
      </c>
      <c r="M32" s="1"/>
      <c r="N32" s="5">
        <f t="shared" si="19"/>
        <v>-1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112</v>
      </c>
      <c r="U32" s="1"/>
      <c r="V32" s="5">
        <f t="shared" si="21"/>
        <v>0</v>
      </c>
      <c r="W32" s="1"/>
      <c r="X32" s="1">
        <f t="shared" si="22"/>
        <v>-112</v>
      </c>
      <c r="Y32" s="1"/>
      <c r="Z32" s="5">
        <f t="shared" si="23"/>
        <v>-1</v>
      </c>
    </row>
    <row r="33" spans="1:26" s="24" customFormat="1" hidden="1" outlineLevel="2" x14ac:dyDescent="0.3">
      <c r="A33" s="27"/>
      <c r="B33" s="11" t="str">
        <f>CONCATENATE("          ", "6309", " - ", "TELEPHONE")</f>
        <v xml:space="preserve">          6309 - TELEPHONE</v>
      </c>
      <c r="C33" s="11"/>
      <c r="D33" s="7"/>
      <c r="E33" s="2"/>
      <c r="F33" s="8">
        <f t="shared" si="16"/>
        <v>0</v>
      </c>
      <c r="G33" s="2"/>
      <c r="H33" s="7">
        <v>56</v>
      </c>
      <c r="I33" s="2"/>
      <c r="J33" s="8">
        <f t="shared" si="17"/>
        <v>0</v>
      </c>
      <c r="K33" s="2"/>
      <c r="L33" s="7">
        <f t="shared" si="18"/>
        <v>-56</v>
      </c>
      <c r="M33" s="2"/>
      <c r="N33" s="8">
        <f t="shared" si="19"/>
        <v>-1</v>
      </c>
      <c r="O33" s="11"/>
      <c r="P33" s="7"/>
      <c r="Q33" s="2"/>
      <c r="R33" s="8">
        <f t="shared" si="20"/>
        <v>0</v>
      </c>
      <c r="S33" s="2"/>
      <c r="T33" s="7">
        <v>112</v>
      </c>
      <c r="U33" s="2"/>
      <c r="V33" s="8">
        <f t="shared" si="21"/>
        <v>0</v>
      </c>
      <c r="W33" s="2"/>
      <c r="X33" s="7">
        <f t="shared" si="22"/>
        <v>-112</v>
      </c>
      <c r="Y33" s="2"/>
      <c r="Z33" s="8">
        <f t="shared" si="23"/>
        <v>-1</v>
      </c>
    </row>
    <row r="34" spans="1:26" s="61" customFormat="1" x14ac:dyDescent="0.3">
      <c r="A34" s="37"/>
      <c r="B34" s="37"/>
      <c r="C34" s="37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3">
      <c r="A35" s="10"/>
      <c r="B35" s="26" t="s">
        <v>292</v>
      </c>
      <c r="C35" s="10"/>
      <c r="D35" s="4">
        <f>SUM(0)</f>
        <v>0</v>
      </c>
      <c r="E35" s="4"/>
      <c r="F35" s="12">
        <f>IF(D$12=0,0,D35/D$12)</f>
        <v>0</v>
      </c>
      <c r="G35" s="4"/>
      <c r="H35" s="4">
        <f>SUM(0)</f>
        <v>0</v>
      </c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>
        <f>SUM(0)</f>
        <v>0</v>
      </c>
      <c r="Q35" s="4"/>
      <c r="R35" s="12">
        <f>IF(P$12=0,0,P35/P$12)</f>
        <v>0</v>
      </c>
      <c r="S35" s="4"/>
      <c r="T35" s="4">
        <f>SUM(0)</f>
        <v>0</v>
      </c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6"/>
      <c r="G36" s="3"/>
      <c r="H36" s="3"/>
      <c r="I36" s="3"/>
      <c r="J36" s="6"/>
      <c r="K36" s="3"/>
      <c r="L36" s="3"/>
      <c r="M36" s="3"/>
      <c r="N36" s="6"/>
      <c r="O36" s="10"/>
      <c r="P36" s="3"/>
      <c r="Q36" s="3"/>
      <c r="R36" s="6"/>
      <c r="S36" s="3"/>
      <c r="T36" s="3"/>
      <c r="U36" s="3"/>
      <c r="V36" s="6"/>
      <c r="W36" s="3"/>
      <c r="X36" s="3"/>
      <c r="Y36" s="3"/>
      <c r="Z36" s="6"/>
    </row>
    <row r="37" spans="1:26" s="23" customFormat="1" x14ac:dyDescent="0.3">
      <c r="A37" s="10"/>
      <c r="B37" s="25" t="s">
        <v>276</v>
      </c>
      <c r="C37" s="25"/>
      <c r="D37" s="20">
        <f>+D17-D19+D35</f>
        <v>-1000.91</v>
      </c>
      <c r="E37" s="13"/>
      <c r="F37" s="22">
        <f>IF(D$12=0,0,D37/D$12)</f>
        <v>0</v>
      </c>
      <c r="G37" s="13"/>
      <c r="H37" s="20">
        <f>+H17-H19+H35</f>
        <v>-1292.71</v>
      </c>
      <c r="I37" s="13"/>
      <c r="J37" s="22">
        <f>IF(H$12=0,0,H37/H$12)</f>
        <v>0</v>
      </c>
      <c r="K37" s="15"/>
      <c r="L37" s="20">
        <f>+D37-H37</f>
        <v>291.80000000000007</v>
      </c>
      <c r="M37" s="15"/>
      <c r="N37" s="22">
        <f>IF(H37=0,0,L37/H37)</f>
        <v>-0.22572734797441038</v>
      </c>
      <c r="O37" s="26"/>
      <c r="P37" s="20">
        <f>+P17-P19+P35</f>
        <v>-967.08999999999992</v>
      </c>
      <c r="Q37" s="13"/>
      <c r="R37" s="22">
        <f>IF(P$12=0,0,P37/P$12)</f>
        <v>0</v>
      </c>
      <c r="S37" s="13"/>
      <c r="T37" s="20">
        <f>+T17-T19+T35</f>
        <v>-5147.9799999999996</v>
      </c>
      <c r="U37" s="13"/>
      <c r="V37" s="22">
        <f>IF(T$12=0,0,T37/T$12)</f>
        <v>0</v>
      </c>
      <c r="W37" s="15"/>
      <c r="X37" s="20">
        <f>+P37-T37</f>
        <v>4180.8899999999994</v>
      </c>
      <c r="Y37" s="15"/>
      <c r="Z37" s="22">
        <f>IF(T37=0,0,X37/T37)</f>
        <v>-0.81214184981293625</v>
      </c>
    </row>
    <row r="38" spans="1:26" x14ac:dyDescent="0.3">
      <c r="A38" s="9"/>
      <c r="B38" s="10"/>
      <c r="C38" s="9"/>
      <c r="D38" s="3"/>
      <c r="E38" s="3"/>
      <c r="F38" s="6"/>
      <c r="G38" s="3"/>
      <c r="H38" s="3"/>
      <c r="I38" s="3"/>
      <c r="J38" s="6"/>
      <c r="K38" s="3"/>
      <c r="L38" s="3"/>
      <c r="M38" s="3"/>
      <c r="N38" s="6"/>
      <c r="P38" s="3"/>
      <c r="Q38" s="3"/>
      <c r="R38" s="6"/>
      <c r="S38" s="3"/>
      <c r="T38" s="3"/>
      <c r="U38" s="3"/>
      <c r="V38" s="6"/>
      <c r="W38" s="3"/>
      <c r="X38" s="3"/>
      <c r="Y38" s="3"/>
      <c r="Z38" s="6"/>
    </row>
    <row r="39" spans="1:26" s="23" customFormat="1" x14ac:dyDescent="0.3">
      <c r="A39" s="51"/>
      <c r="B39" s="10" t="s">
        <v>127</v>
      </c>
      <c r="C39" s="10"/>
      <c r="D39" s="4"/>
      <c r="E39" s="4"/>
      <c r="F39" s="12">
        <f>IF(D$12=0,0,D39/D$12)</f>
        <v>0</v>
      </c>
      <c r="G39" s="4"/>
      <c r="H39" s="4"/>
      <c r="I39" s="4"/>
      <c r="J39" s="12">
        <f>IF(H$12=0,0,H39/H$12)</f>
        <v>0</v>
      </c>
      <c r="K39" s="4"/>
      <c r="L39" s="4">
        <f>+D39-H39</f>
        <v>0</v>
      </c>
      <c r="M39" s="4"/>
      <c r="N39" s="12">
        <f>IF(H39=0,0,L39/H39)</f>
        <v>0</v>
      </c>
      <c r="O39" s="10"/>
      <c r="P39" s="4"/>
      <c r="Q39" s="4"/>
      <c r="R39" s="12">
        <f>IF(P$12=0,0,P39/P$12)</f>
        <v>0</v>
      </c>
      <c r="S39" s="4"/>
      <c r="T39" s="4"/>
      <c r="U39" s="4"/>
      <c r="V39" s="12">
        <f>IF(T$12=0,0,T39/T$12)</f>
        <v>0</v>
      </c>
      <c r="W39" s="4"/>
      <c r="X39" s="4">
        <f>+P39-T39</f>
        <v>0</v>
      </c>
      <c r="Y39" s="4"/>
      <c r="Z39" s="12">
        <f>IF(T39=0,0,X39/T39)</f>
        <v>0</v>
      </c>
    </row>
    <row r="40" spans="1:26" x14ac:dyDescent="0.3">
      <c r="A40" s="9"/>
      <c r="B40" s="10"/>
      <c r="C40" s="10"/>
      <c r="D40" s="3"/>
      <c r="E40" s="3"/>
      <c r="F40" s="6"/>
      <c r="G40" s="3"/>
      <c r="H40" s="3"/>
      <c r="I40" s="3"/>
      <c r="J40" s="6"/>
      <c r="K40" s="3"/>
      <c r="L40" s="3"/>
      <c r="M40" s="3"/>
      <c r="N40" s="6"/>
      <c r="O40" s="10"/>
      <c r="P40" s="3"/>
      <c r="Q40" s="3"/>
      <c r="R40" s="6"/>
      <c r="S40" s="3"/>
      <c r="T40" s="3"/>
      <c r="U40" s="3"/>
      <c r="V40" s="6"/>
      <c r="W40" s="3"/>
      <c r="X40" s="3"/>
      <c r="Y40" s="3"/>
      <c r="Z40" s="6"/>
    </row>
    <row r="41" spans="1:26" s="23" customFormat="1" ht="15" thickBot="1" x14ac:dyDescent="0.35">
      <c r="A41" s="10"/>
      <c r="B41" s="25" t="s">
        <v>125</v>
      </c>
      <c r="C41" s="25"/>
      <c r="D41" s="33">
        <f>+D37-D39</f>
        <v>-1000.91</v>
      </c>
      <c r="E41" s="13"/>
      <c r="F41" s="36">
        <f>IF(D$12=0,0,D41/D$12)</f>
        <v>0</v>
      </c>
      <c r="G41" s="13"/>
      <c r="H41" s="33">
        <f>+H37-H39</f>
        <v>-1292.71</v>
      </c>
      <c r="I41" s="13"/>
      <c r="J41" s="36">
        <f>IF(H$12=0,0,H41/H$12)</f>
        <v>0</v>
      </c>
      <c r="K41" s="15"/>
      <c r="L41" s="33">
        <f>D41-H41</f>
        <v>291.80000000000007</v>
      </c>
      <c r="M41" s="15"/>
      <c r="N41" s="36">
        <f>IF(H41=0,0,L41/H41)</f>
        <v>-0.22572734797441038</v>
      </c>
      <c r="O41" s="26"/>
      <c r="P41" s="33">
        <f>+P37-P39</f>
        <v>-967.08999999999992</v>
      </c>
      <c r="Q41" s="13"/>
      <c r="R41" s="36">
        <f>IF(P$12=0,0,P41/P$12)</f>
        <v>0</v>
      </c>
      <c r="S41" s="13"/>
      <c r="T41" s="33">
        <f>+T37-T39</f>
        <v>-5147.9799999999996</v>
      </c>
      <c r="U41" s="13"/>
      <c r="V41" s="36">
        <f>IF(T$12=0,0,T41/T$12)</f>
        <v>0</v>
      </c>
      <c r="W41" s="15"/>
      <c r="X41" s="33">
        <f>P41-T41</f>
        <v>4180.8899999999994</v>
      </c>
      <c r="Y41" s="15"/>
      <c r="Z41" s="36">
        <f>IF(T41=0,0,X41/T41)</f>
        <v>-0.81214184981293625</v>
      </c>
    </row>
    <row r="42" spans="1:26" ht="15" thickTop="1" x14ac:dyDescent="0.3">
      <c r="A42" s="9"/>
      <c r="B42" s="9"/>
      <c r="C42" s="9"/>
      <c r="D42" s="3"/>
      <c r="E42" s="3"/>
      <c r="F42" s="6"/>
      <c r="G42" s="3"/>
      <c r="H42" s="3"/>
      <c r="I42" s="3"/>
      <c r="J42" s="6"/>
      <c r="K42" s="3"/>
      <c r="L42" s="3"/>
      <c r="M42" s="3"/>
      <c r="N42" s="6"/>
      <c r="P42" s="3"/>
      <c r="Q42" s="3"/>
      <c r="R42" s="6"/>
      <c r="S42" s="3"/>
      <c r="T42" s="3"/>
      <c r="U42" s="3"/>
      <c r="V42" s="6"/>
      <c r="W42" s="3"/>
      <c r="X42" s="3"/>
      <c r="Y42" s="3"/>
      <c r="Z42" s="6"/>
    </row>
    <row r="43" spans="1:26" x14ac:dyDescent="0.3">
      <c r="A43" s="9"/>
      <c r="B43" s="9"/>
      <c r="C43" s="9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s="23" customFormat="1" ht="15" thickBot="1" x14ac:dyDescent="0.35">
      <c r="A44" s="10"/>
      <c r="B44" s="25" t="s">
        <v>293</v>
      </c>
      <c r="C44" s="25"/>
      <c r="D44" s="30">
        <f>SUM(D41:D43)</f>
        <v>-1000.91</v>
      </c>
      <c r="E44" s="13"/>
      <c r="F44" s="31">
        <f>IF(D$12=0,0,D44/D$12)</f>
        <v>0</v>
      </c>
      <c r="G44" s="13"/>
      <c r="H44" s="30">
        <f>SUM(H41:H43)</f>
        <v>-1292.71</v>
      </c>
      <c r="I44" s="13"/>
      <c r="J44" s="31">
        <f>IF(H$12=0,0,H44/H$12)</f>
        <v>0</v>
      </c>
      <c r="K44" s="15"/>
      <c r="L44" s="30">
        <f>+D44-H44</f>
        <v>291.80000000000007</v>
      </c>
      <c r="M44" s="15"/>
      <c r="N44" s="31">
        <f>IF(H44=0,0,L44/H44)</f>
        <v>-0.22572734797441038</v>
      </c>
      <c r="O44" s="26"/>
      <c r="P44" s="30">
        <f>SUM(P41:P43)</f>
        <v>-967.08999999999992</v>
      </c>
      <c r="Q44" s="13"/>
      <c r="R44" s="31">
        <f>IF(P$12=0,0,P44/P$12)</f>
        <v>0</v>
      </c>
      <c r="S44" s="13"/>
      <c r="T44" s="30">
        <f>SUM(T41:T43)</f>
        <v>-5147.9799999999996</v>
      </c>
      <c r="U44" s="13"/>
      <c r="V44" s="31">
        <f>IF(T$12=0,0,T44/T$12)</f>
        <v>0</v>
      </c>
      <c r="W44" s="15"/>
      <c r="X44" s="30">
        <f>+P44-T44</f>
        <v>4180.8899999999994</v>
      </c>
      <c r="Y44" s="15"/>
      <c r="Z44" s="31">
        <f>IF(T44=0,0,X44/T44)</f>
        <v>-0.81214184981293625</v>
      </c>
    </row>
    <row r="45" spans="1:26" ht="15" thickTop="1" x14ac:dyDescent="0.3">
      <c r="A45" s="9"/>
      <c r="C45" s="9"/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3">
      <c r="A46" s="9"/>
      <c r="B46" s="59">
        <v>44470.840542939812</v>
      </c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3">
      <c r="A47" s="9"/>
      <c r="B47" s="58" t="s">
        <v>56</v>
      </c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3">
      <c r="A48" s="9"/>
      <c r="B48" s="52"/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  <row r="49" spans="4:24" x14ac:dyDescent="0.3">
      <c r="D49" s="17"/>
      <c r="E49" s="17"/>
      <c r="G49" s="17"/>
      <c r="H49" s="17"/>
      <c r="I49" s="17"/>
      <c r="J49" s="43"/>
      <c r="K49" s="17"/>
      <c r="L49" s="17"/>
      <c r="M49" s="17"/>
      <c r="P49" s="17"/>
      <c r="Q49" s="17"/>
      <c r="R49" s="43"/>
      <c r="S49" s="17"/>
      <c r="T49" s="17"/>
      <c r="U49" s="17"/>
      <c r="V49" s="43"/>
      <c r="W49" s="17"/>
      <c r="X4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","455", " - ", "Vending (old)")</f>
        <v>Department 455 - Vending (old)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SUM(0)</f>
        <v>0</v>
      </c>
      <c r="E18" s="21"/>
      <c r="F18" s="32">
        <f>IF(D$12=0,0,D18/D$12)</f>
        <v>0</v>
      </c>
      <c r="G18" s="21"/>
      <c r="H18" s="21">
        <f>SUM(0)</f>
        <v>0</v>
      </c>
      <c r="I18" s="21"/>
      <c r="J18" s="32">
        <f>IF(H$12=0,0,H18/H$12)</f>
        <v>0</v>
      </c>
      <c r="K18" s="4"/>
      <c r="L18" s="21">
        <f>+D18-H18</f>
        <v>0</v>
      </c>
      <c r="M18" s="4"/>
      <c r="N18" s="32">
        <f>IF(H18=0,0,L18/H18)</f>
        <v>0</v>
      </c>
      <c r="O18" s="10"/>
      <c r="P18" s="21">
        <f>SUM(0)</f>
        <v>0</v>
      </c>
      <c r="Q18" s="21"/>
      <c r="R18" s="32">
        <f>IF(P$12=0,0,P18/P$12)</f>
        <v>0</v>
      </c>
      <c r="S18" s="21"/>
      <c r="T18" s="21">
        <f>SUM(0)</f>
        <v>0</v>
      </c>
      <c r="U18" s="21"/>
      <c r="V18" s="32">
        <f>IF(T$12=0,0,T18/T$12)</f>
        <v>0</v>
      </c>
      <c r="W18" s="4"/>
      <c r="X18" s="21">
        <f>+P18-T18</f>
        <v>0</v>
      </c>
      <c r="Y18" s="4"/>
      <c r="Z18" s="32">
        <f>IF(T18=0,0,X18/T18)</f>
        <v>0</v>
      </c>
    </row>
    <row r="19" spans="1:26" s="61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6" t="s">
        <v>292</v>
      </c>
      <c r="C20" s="10"/>
      <c r="D20" s="4">
        <f>SUM(OSRRefD25x_0)</f>
        <v>10505.51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10505.51</v>
      </c>
      <c r="M20" s="4"/>
      <c r="N20" s="12">
        <f t="shared" ref="N20:N22" si="3">IF(H20=0,0,L20/H20)</f>
        <v>0</v>
      </c>
      <c r="O20" s="10"/>
      <c r="P20" s="4">
        <f>SUM(OSRRefP25x_0)</f>
        <v>11743.630000000001</v>
      </c>
      <c r="Q20" s="4"/>
      <c r="R20" s="12">
        <f t="shared" ref="R20:R22" si="4">IF(P$12=0,0,P20/P$12)</f>
        <v>0</v>
      </c>
      <c r="S20" s="4"/>
      <c r="T20" s="4">
        <f>SUM(OSRRefT25x_0)</f>
        <v>1564.13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10179.5</v>
      </c>
      <c r="Y20" s="4"/>
      <c r="Z20" s="12">
        <f t="shared" ref="Z20:Z22" si="7">IF(T20=0,0,X20/T20)</f>
        <v>6.5080907597194599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2">
        <f>--10000</f>
        <v>10000</v>
      </c>
      <c r="E21" s="2"/>
      <c r="F21" s="19">
        <f t="shared" si="0"/>
        <v>0</v>
      </c>
      <c r="G21" s="2"/>
      <c r="H21" s="2">
        <f t="shared" ref="H21:H22" si="8">0</f>
        <v>0</v>
      </c>
      <c r="I21" s="2"/>
      <c r="J21" s="19">
        <f t="shared" si="1"/>
        <v>0</v>
      </c>
      <c r="K21" s="2"/>
      <c r="L21" s="2">
        <f t="shared" si="2"/>
        <v>10000</v>
      </c>
      <c r="M21" s="2"/>
      <c r="N21" s="19">
        <f t="shared" si="3"/>
        <v>0</v>
      </c>
      <c r="O21" s="11"/>
      <c r="P21" s="2">
        <f>--11238.12</f>
        <v>11238.12</v>
      </c>
      <c r="Q21" s="2"/>
      <c r="R21" s="19">
        <f t="shared" si="4"/>
        <v>0</v>
      </c>
      <c r="S21" s="2"/>
      <c r="T21" s="2">
        <f>--1363.63</f>
        <v>1363.63</v>
      </c>
      <c r="U21" s="2"/>
      <c r="V21" s="19">
        <f t="shared" si="5"/>
        <v>0</v>
      </c>
      <c r="W21" s="2"/>
      <c r="X21" s="2">
        <f t="shared" si="6"/>
        <v>9874.4900000000016</v>
      </c>
      <c r="Y21" s="2"/>
      <c r="Z21" s="19">
        <f t="shared" si="7"/>
        <v>7.2413264595234788</v>
      </c>
    </row>
    <row r="22" spans="1:26" s="24" customFormat="1" hidden="1" outlineLevel="1" x14ac:dyDescent="0.3">
      <c r="A22" s="44"/>
      <c r="B22" s="11" t="str">
        <f>CONCATENATE("          ", "9165", " - ", "OTHER INCOME")</f>
        <v xml:space="preserve">          9165 - OTHER INCOME</v>
      </c>
      <c r="C22" s="11"/>
      <c r="D22" s="2">
        <f>--505.51</f>
        <v>505.51</v>
      </c>
      <c r="E22" s="2"/>
      <c r="F22" s="19">
        <f t="shared" si="0"/>
        <v>0</v>
      </c>
      <c r="G22" s="2"/>
      <c r="H22" s="2">
        <f t="shared" si="8"/>
        <v>0</v>
      </c>
      <c r="I22" s="2"/>
      <c r="J22" s="19">
        <f t="shared" si="1"/>
        <v>0</v>
      </c>
      <c r="K22" s="2"/>
      <c r="L22" s="2">
        <f t="shared" si="2"/>
        <v>505.51</v>
      </c>
      <c r="M22" s="2"/>
      <c r="N22" s="19">
        <f t="shared" si="3"/>
        <v>0</v>
      </c>
      <c r="O22" s="11"/>
      <c r="P22" s="2">
        <f>--505.51</f>
        <v>505.51</v>
      </c>
      <c r="Q22" s="2"/>
      <c r="R22" s="19">
        <f t="shared" si="4"/>
        <v>0</v>
      </c>
      <c r="S22" s="2"/>
      <c r="T22" s="2">
        <f>--200.5</f>
        <v>200.5</v>
      </c>
      <c r="U22" s="2"/>
      <c r="V22" s="19">
        <f t="shared" si="5"/>
        <v>0</v>
      </c>
      <c r="W22" s="2"/>
      <c r="X22" s="2">
        <f t="shared" si="6"/>
        <v>305.01</v>
      </c>
      <c r="Y22" s="2"/>
      <c r="Z22" s="19">
        <f t="shared" si="7"/>
        <v>1.5212468827930175</v>
      </c>
    </row>
    <row r="23" spans="1:26" x14ac:dyDescent="0.3">
      <c r="A23" s="9"/>
      <c r="B23" s="10"/>
      <c r="C23" s="10"/>
      <c r="D23" s="3"/>
      <c r="E23" s="3"/>
      <c r="F23" s="6"/>
      <c r="G23" s="3"/>
      <c r="H23" s="3"/>
      <c r="I23" s="3"/>
      <c r="J23" s="6"/>
      <c r="K23" s="3"/>
      <c r="L23" s="3"/>
      <c r="M23" s="3"/>
      <c r="N23" s="6"/>
      <c r="O23" s="10"/>
      <c r="P23" s="3"/>
      <c r="Q23" s="3"/>
      <c r="R23" s="6"/>
      <c r="S23" s="3"/>
      <c r="T23" s="3"/>
      <c r="U23" s="3"/>
      <c r="V23" s="6"/>
      <c r="W23" s="3"/>
      <c r="X23" s="3"/>
      <c r="Y23" s="3"/>
      <c r="Z23" s="6"/>
    </row>
    <row r="24" spans="1:26" s="23" customFormat="1" x14ac:dyDescent="0.3">
      <c r="A24" s="10"/>
      <c r="B24" s="25" t="s">
        <v>276</v>
      </c>
      <c r="C24" s="25"/>
      <c r="D24" s="20">
        <f>+D16-D18+D20</f>
        <v>10505.51</v>
      </c>
      <c r="E24" s="13"/>
      <c r="F24" s="22">
        <f>IF(D$12=0,0,D24/D$12)</f>
        <v>0</v>
      </c>
      <c r="G24" s="13"/>
      <c r="H24" s="20">
        <f>+H16-H18+H20</f>
        <v>0</v>
      </c>
      <c r="I24" s="13"/>
      <c r="J24" s="22">
        <f>IF(H$12=0,0,H24/H$12)</f>
        <v>0</v>
      </c>
      <c r="K24" s="15"/>
      <c r="L24" s="20">
        <f>+D24-H24</f>
        <v>10505.51</v>
      </c>
      <c r="M24" s="15"/>
      <c r="N24" s="22">
        <f>IF(H24=0,0,L24/H24)</f>
        <v>0</v>
      </c>
      <c r="O24" s="26"/>
      <c r="P24" s="20">
        <f>+P16-P18+P20</f>
        <v>11743.630000000001</v>
      </c>
      <c r="Q24" s="13"/>
      <c r="R24" s="22">
        <f>IF(P$12=0,0,P24/P$12)</f>
        <v>0</v>
      </c>
      <c r="S24" s="13"/>
      <c r="T24" s="20">
        <f>+T16-T18+T20</f>
        <v>1564.13</v>
      </c>
      <c r="U24" s="13"/>
      <c r="V24" s="22">
        <f>IF(T$12=0,0,T24/T$12)</f>
        <v>0</v>
      </c>
      <c r="W24" s="15"/>
      <c r="X24" s="20">
        <f>+P24-T24</f>
        <v>10179.5</v>
      </c>
      <c r="Y24" s="15"/>
      <c r="Z24" s="22">
        <f>IF(T24=0,0,X24/T24)</f>
        <v>6.5080907597194599</v>
      </c>
    </row>
    <row r="25" spans="1:26" x14ac:dyDescent="0.3">
      <c r="A25" s="9"/>
      <c r="B25" s="10"/>
      <c r="C25" s="9"/>
      <c r="D25" s="3"/>
      <c r="E25" s="3"/>
      <c r="F25" s="6"/>
      <c r="G25" s="3"/>
      <c r="H25" s="3"/>
      <c r="I25" s="3"/>
      <c r="J25" s="6"/>
      <c r="K25" s="3"/>
      <c r="L25" s="3"/>
      <c r="M25" s="3"/>
      <c r="N25" s="6"/>
      <c r="P25" s="3"/>
      <c r="Q25" s="3"/>
      <c r="R25" s="6"/>
      <c r="S25" s="3"/>
      <c r="T25" s="3"/>
      <c r="U25" s="3"/>
      <c r="V25" s="6"/>
      <c r="W25" s="3"/>
      <c r="X25" s="3"/>
      <c r="Y25" s="3"/>
      <c r="Z25" s="6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6"/>
      <c r="G27" s="3"/>
      <c r="H27" s="3"/>
      <c r="I27" s="3"/>
      <c r="J27" s="6"/>
      <c r="K27" s="3"/>
      <c r="L27" s="3"/>
      <c r="M27" s="3"/>
      <c r="N27" s="6"/>
      <c r="O27" s="10"/>
      <c r="P27" s="3"/>
      <c r="Q27" s="3"/>
      <c r="R27" s="6"/>
      <c r="S27" s="3"/>
      <c r="T27" s="3"/>
      <c r="U27" s="3"/>
      <c r="V27" s="6"/>
      <c r="W27" s="3"/>
      <c r="X27" s="3"/>
      <c r="Y27" s="3"/>
      <c r="Z27" s="6"/>
    </row>
    <row r="28" spans="1:26" s="23" customFormat="1" ht="15" thickBot="1" x14ac:dyDescent="0.35">
      <c r="A28" s="10"/>
      <c r="B28" s="25" t="s">
        <v>125</v>
      </c>
      <c r="C28" s="25"/>
      <c r="D28" s="33">
        <f>+D24-D26</f>
        <v>10505.51</v>
      </c>
      <c r="E28" s="13"/>
      <c r="F28" s="36">
        <f>IF(D$12=0,0,D28/D$12)</f>
        <v>0</v>
      </c>
      <c r="G28" s="13"/>
      <c r="H28" s="33">
        <f>+H24-H26</f>
        <v>0</v>
      </c>
      <c r="I28" s="13"/>
      <c r="J28" s="36">
        <f>IF(H$12=0,0,H28/H$12)</f>
        <v>0</v>
      </c>
      <c r="K28" s="15"/>
      <c r="L28" s="33">
        <f>D28-H28</f>
        <v>10505.51</v>
      </c>
      <c r="M28" s="15"/>
      <c r="N28" s="36">
        <f>IF(H28=0,0,L28/H28)</f>
        <v>0</v>
      </c>
      <c r="O28" s="26"/>
      <c r="P28" s="33">
        <f>+P24-P26</f>
        <v>11743.630000000001</v>
      </c>
      <c r="Q28" s="13"/>
      <c r="R28" s="36">
        <f>IF(P$12=0,0,P28/P$12)</f>
        <v>0</v>
      </c>
      <c r="S28" s="13"/>
      <c r="T28" s="33">
        <f>+T24-T26</f>
        <v>1564.13</v>
      </c>
      <c r="U28" s="13"/>
      <c r="V28" s="36">
        <f>IF(T$12=0,0,T28/T$12)</f>
        <v>0</v>
      </c>
      <c r="W28" s="15"/>
      <c r="X28" s="33">
        <f>P28-T28</f>
        <v>10179.5</v>
      </c>
      <c r="Y28" s="15"/>
      <c r="Z28" s="36">
        <f>IF(T28=0,0,X28/T28)</f>
        <v>6.5080907597194599</v>
      </c>
    </row>
    <row r="29" spans="1:26" ht="15" thickTop="1" x14ac:dyDescent="0.3">
      <c r="A29" s="9"/>
      <c r="B29" s="9"/>
      <c r="C29" s="9"/>
      <c r="D29" s="3"/>
      <c r="E29" s="3"/>
      <c r="F29" s="6"/>
      <c r="G29" s="3"/>
      <c r="H29" s="3"/>
      <c r="I29" s="3"/>
      <c r="J29" s="6"/>
      <c r="K29" s="3"/>
      <c r="L29" s="3"/>
      <c r="M29" s="3"/>
      <c r="N29" s="6"/>
      <c r="P29" s="3"/>
      <c r="Q29" s="3"/>
      <c r="R29" s="6"/>
      <c r="S29" s="3"/>
      <c r="T29" s="3"/>
      <c r="U29" s="3"/>
      <c r="V29" s="6"/>
      <c r="W29" s="3"/>
      <c r="X29" s="3"/>
      <c r="Y29" s="3"/>
      <c r="Z29" s="6"/>
    </row>
    <row r="30" spans="1:26" x14ac:dyDescent="0.3">
      <c r="A30" s="9"/>
      <c r="B30" s="9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293</v>
      </c>
      <c r="C31" s="25"/>
      <c r="D31" s="30">
        <f>SUM(D28:D30)</f>
        <v>10505.51</v>
      </c>
      <c r="E31" s="13"/>
      <c r="F31" s="31">
        <f>IF(D$12=0,0,D31/D$12)</f>
        <v>0</v>
      </c>
      <c r="G31" s="13"/>
      <c r="H31" s="30">
        <f>SUM(H28:H30)</f>
        <v>0</v>
      </c>
      <c r="I31" s="13"/>
      <c r="J31" s="31">
        <f>IF(H$12=0,0,H31/H$12)</f>
        <v>0</v>
      </c>
      <c r="K31" s="15"/>
      <c r="L31" s="30">
        <f>+D31-H31</f>
        <v>10505.51</v>
      </c>
      <c r="M31" s="15"/>
      <c r="N31" s="31">
        <f>IF(H31=0,0,L31/H31)</f>
        <v>0</v>
      </c>
      <c r="O31" s="26"/>
      <c r="P31" s="30">
        <f>SUM(P28:P30)</f>
        <v>11743.630000000001</v>
      </c>
      <c r="Q31" s="13"/>
      <c r="R31" s="31">
        <f>IF(P$12=0,0,P31/P$12)</f>
        <v>0</v>
      </c>
      <c r="S31" s="13"/>
      <c r="T31" s="30">
        <f>SUM(T28:T30)</f>
        <v>1564.13</v>
      </c>
      <c r="U31" s="13"/>
      <c r="V31" s="31">
        <f>IF(T$12=0,0,T31/T$12)</f>
        <v>0</v>
      </c>
      <c r="W31" s="15"/>
      <c r="X31" s="30">
        <f>+P31-T31</f>
        <v>10179.5</v>
      </c>
      <c r="Y31" s="15"/>
      <c r="Z31" s="31">
        <f>IF(T31=0,0,X31/T31)</f>
        <v>6.5080907597194599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9">
        <v>44470.840542939812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9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182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483224.21</v>
      </c>
      <c r="E12" s="4"/>
      <c r="F12" s="12"/>
      <c r="G12" s="4"/>
      <c r="H12" s="4">
        <f>SUM(OSRRefH13x_0)</f>
        <v>49828.08</v>
      </c>
      <c r="I12" s="4"/>
      <c r="J12" s="12"/>
      <c r="K12" s="4"/>
      <c r="L12" s="4">
        <f t="shared" ref="L12:L15" si="0">+D12-H12</f>
        <v>433396.13</v>
      </c>
      <c r="M12" s="4"/>
      <c r="N12" s="12">
        <f t="shared" ref="N12:N15" si="1">IF(H12=0,0,L12/H12)</f>
        <v>8.6978292159762116</v>
      </c>
      <c r="O12" s="10"/>
      <c r="P12" s="4">
        <f>SUM(OSRRefP13x_0)</f>
        <v>506211.56000000006</v>
      </c>
      <c r="Q12" s="4"/>
      <c r="R12" s="12"/>
      <c r="S12" s="4"/>
      <c r="T12" s="4">
        <f>SUM(OSRRefT13x_0)</f>
        <v>69156</v>
      </c>
      <c r="U12" s="4"/>
      <c r="V12" s="12"/>
      <c r="W12" s="4"/>
      <c r="X12" s="4">
        <f t="shared" ref="X12:X15" si="2">+P12-T12</f>
        <v>437055.56000000006</v>
      </c>
      <c r="Y12" s="4"/>
      <c r="Z12" s="12">
        <f t="shared" ref="Z12:Z15" si="3">IF(T12=0,0,X12/T12)</f>
        <v>6.3198501937648226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--384.19</f>
        <v>384.19</v>
      </c>
      <c r="E13" s="2"/>
      <c r="F13" s="19"/>
      <c r="G13" s="2"/>
      <c r="H13" s="2">
        <f>--140.01</f>
        <v>140.01</v>
      </c>
      <c r="I13" s="2"/>
      <c r="J13" s="19"/>
      <c r="K13" s="2"/>
      <c r="L13" s="2">
        <f t="shared" si="0"/>
        <v>244.18</v>
      </c>
      <c r="M13" s="2"/>
      <c r="N13" s="19">
        <f t="shared" si="1"/>
        <v>1.7440182844082568</v>
      </c>
      <c r="O13" s="11"/>
      <c r="P13" s="2">
        <f>--490.83</f>
        <v>490.83</v>
      </c>
      <c r="Q13" s="2"/>
      <c r="R13" s="19"/>
      <c r="S13" s="2"/>
      <c r="T13" s="2">
        <f>--339.9</f>
        <v>339.9</v>
      </c>
      <c r="U13" s="2"/>
      <c r="V13" s="19"/>
      <c r="W13" s="2"/>
      <c r="X13" s="2">
        <f t="shared" si="2"/>
        <v>150.93</v>
      </c>
      <c r="Y13" s="2"/>
      <c r="Z13" s="19">
        <f t="shared" si="3"/>
        <v>0.44404236540158876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--467052.71</f>
        <v>467052.71</v>
      </c>
      <c r="E14" s="2"/>
      <c r="F14" s="19"/>
      <c r="G14" s="2"/>
      <c r="H14" s="2">
        <f>--40550.68</f>
        <v>40550.68</v>
      </c>
      <c r="I14" s="2"/>
      <c r="J14" s="19"/>
      <c r="K14" s="2"/>
      <c r="L14" s="2">
        <f t="shared" si="0"/>
        <v>426502.03</v>
      </c>
      <c r="M14" s="2"/>
      <c r="N14" s="19">
        <f t="shared" si="1"/>
        <v>10.51775284656139</v>
      </c>
      <c r="O14" s="11"/>
      <c r="P14" s="2">
        <f>--486652.71</f>
        <v>486652.71</v>
      </c>
      <c r="Q14" s="2"/>
      <c r="R14" s="19"/>
      <c r="S14" s="2"/>
      <c r="T14" s="2">
        <f>--41850.68</f>
        <v>41850.68</v>
      </c>
      <c r="U14" s="2"/>
      <c r="V14" s="19"/>
      <c r="W14" s="2"/>
      <c r="X14" s="2">
        <f t="shared" si="2"/>
        <v>444802.03</v>
      </c>
      <c r="Y14" s="2"/>
      <c r="Z14" s="19">
        <f t="shared" si="3"/>
        <v>10.628310698894261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--15787.31</f>
        <v>15787.31</v>
      </c>
      <c r="E15" s="2"/>
      <c r="F15" s="19"/>
      <c r="G15" s="2"/>
      <c r="H15" s="2">
        <f>--9137.39</f>
        <v>9137.39</v>
      </c>
      <c r="I15" s="2"/>
      <c r="J15" s="19"/>
      <c r="K15" s="2"/>
      <c r="L15" s="2">
        <f t="shared" si="0"/>
        <v>6649.92</v>
      </c>
      <c r="M15" s="2"/>
      <c r="N15" s="19">
        <f t="shared" si="1"/>
        <v>0.72777018382711045</v>
      </c>
      <c r="O15" s="11"/>
      <c r="P15" s="2">
        <f>--19068.02</f>
        <v>19068.02</v>
      </c>
      <c r="Q15" s="2"/>
      <c r="R15" s="19"/>
      <c r="S15" s="2"/>
      <c r="T15" s="2">
        <f>--26965.42</f>
        <v>26965.42</v>
      </c>
      <c r="U15" s="2"/>
      <c r="V15" s="19"/>
      <c r="W15" s="2"/>
      <c r="X15" s="2">
        <f t="shared" si="2"/>
        <v>-7897.3999999999978</v>
      </c>
      <c r="Y15" s="2"/>
      <c r="Z15" s="19">
        <f t="shared" si="3"/>
        <v>-0.29287138861549339</v>
      </c>
    </row>
    <row r="16" spans="1:26" x14ac:dyDescent="0.3">
      <c r="A16" s="9"/>
      <c r="B16" s="10"/>
      <c r="C16" s="9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175207.4</v>
      </c>
      <c r="E17" s="4"/>
      <c r="F17" s="12">
        <f t="shared" ref="F17:F19" si="4">IF(D$12=0,0,D17/D$12)</f>
        <v>0.36257992951139595</v>
      </c>
      <c r="G17" s="4"/>
      <c r="H17" s="4">
        <f>SUM(OSRRefH16x_0)</f>
        <v>46072.600000000006</v>
      </c>
      <c r="I17" s="4"/>
      <c r="J17" s="12">
        <f t="shared" ref="J17:J19" si="5">IF(H$12=0,0,H17/H$12)</f>
        <v>0.92463125209721109</v>
      </c>
      <c r="K17" s="4"/>
      <c r="L17" s="4">
        <f t="shared" ref="L17:L19" si="6">+D17-H17</f>
        <v>129134.79999999999</v>
      </c>
      <c r="M17" s="4"/>
      <c r="N17" s="12">
        <f t="shared" ref="N17:N19" si="7">IF(H17=0,0,L17/H17)</f>
        <v>2.8028546250917024</v>
      </c>
      <c r="O17" s="10"/>
      <c r="P17" s="4">
        <f>SUM(OSRRefP16x_0)</f>
        <v>192336.24</v>
      </c>
      <c r="Q17" s="4"/>
      <c r="R17" s="12">
        <f t="shared" ref="R17:R19" si="8">IF(P$12=0,0,P17/P$12)</f>
        <v>0.37995228714255352</v>
      </c>
      <c r="S17" s="4"/>
      <c r="T17" s="4">
        <f>SUM(OSRRefT16x_0)</f>
        <v>57762.22</v>
      </c>
      <c r="U17" s="4"/>
      <c r="V17" s="12">
        <f t="shared" ref="V17:V19" si="9">IF(T$12=0,0,T17/T$12)</f>
        <v>0.8352452426398288</v>
      </c>
      <c r="W17" s="4"/>
      <c r="X17" s="4">
        <f t="shared" ref="X17:X19" si="10">+P17-T17</f>
        <v>134574.01999999999</v>
      </c>
      <c r="Y17" s="4"/>
      <c r="Z17" s="12">
        <f t="shared" ref="Z17:Z19" si="11">IF(T17=0,0,X17/T17)</f>
        <v>2.3297930723576759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219629.4</v>
      </c>
      <c r="E18" s="2"/>
      <c r="F18" s="19">
        <f t="shared" si="4"/>
        <v>0.45450827060175647</v>
      </c>
      <c r="G18" s="2"/>
      <c r="H18" s="2">
        <v>76328.600000000006</v>
      </c>
      <c r="I18" s="2"/>
      <c r="J18" s="19">
        <f t="shared" si="5"/>
        <v>1.5318390754771205</v>
      </c>
      <c r="K18" s="2"/>
      <c r="L18" s="2">
        <f t="shared" si="6"/>
        <v>143300.79999999999</v>
      </c>
      <c r="M18" s="2"/>
      <c r="N18" s="19">
        <f t="shared" si="7"/>
        <v>1.877419473172572</v>
      </c>
      <c r="O18" s="11"/>
      <c r="P18" s="2">
        <v>237598.24</v>
      </c>
      <c r="Q18" s="2"/>
      <c r="R18" s="19">
        <f t="shared" si="8"/>
        <v>0.4693654961178681</v>
      </c>
      <c r="S18" s="2"/>
      <c r="T18" s="2">
        <v>84609.22</v>
      </c>
      <c r="U18" s="2"/>
      <c r="V18" s="19">
        <f t="shared" si="9"/>
        <v>1.2234545086471167</v>
      </c>
      <c r="W18" s="2"/>
      <c r="X18" s="2">
        <f t="shared" si="10"/>
        <v>152989.01999999999</v>
      </c>
      <c r="Y18" s="2"/>
      <c r="Z18" s="19">
        <f t="shared" si="11"/>
        <v>1.8081837889534969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-44422</v>
      </c>
      <c r="E19" s="2"/>
      <c r="F19" s="19">
        <f t="shared" si="4"/>
        <v>-9.1928341090360507E-2</v>
      </c>
      <c r="G19" s="2"/>
      <c r="H19" s="2">
        <v>-30256</v>
      </c>
      <c r="I19" s="2"/>
      <c r="J19" s="19">
        <f t="shared" si="5"/>
        <v>-0.60720782337990942</v>
      </c>
      <c r="K19" s="2"/>
      <c r="L19" s="2">
        <f t="shared" si="6"/>
        <v>-14166</v>
      </c>
      <c r="M19" s="2"/>
      <c r="N19" s="19">
        <f t="shared" si="7"/>
        <v>0.46820465362242197</v>
      </c>
      <c r="O19" s="11"/>
      <c r="P19" s="2">
        <v>-45262</v>
      </c>
      <c r="Q19" s="2"/>
      <c r="R19" s="19">
        <f t="shared" si="8"/>
        <v>-8.9413208975314573E-2</v>
      </c>
      <c r="S19" s="2"/>
      <c r="T19" s="2">
        <v>-26847</v>
      </c>
      <c r="U19" s="2"/>
      <c r="V19" s="19">
        <f t="shared" si="9"/>
        <v>-0.38820926600728789</v>
      </c>
      <c r="W19" s="2"/>
      <c r="X19" s="2">
        <f t="shared" si="10"/>
        <v>-18415</v>
      </c>
      <c r="Y19" s="2"/>
      <c r="Z19" s="19">
        <f t="shared" si="11"/>
        <v>0.68592393936007745</v>
      </c>
    </row>
    <row r="20" spans="1:26" x14ac:dyDescent="0.3">
      <c r="A20" s="9"/>
      <c r="B20" s="10"/>
      <c r="C20" s="10"/>
      <c r="D20" s="3"/>
      <c r="E20" s="3"/>
      <c r="F20" s="6"/>
      <c r="G20" s="3"/>
      <c r="H20" s="3"/>
      <c r="I20" s="3"/>
      <c r="J20" s="6"/>
      <c r="K20" s="3"/>
      <c r="L20" s="3"/>
      <c r="M20" s="3"/>
      <c r="N20" s="6"/>
      <c r="O20" s="10"/>
      <c r="P20" s="3"/>
      <c r="Q20" s="3"/>
      <c r="R20" s="6"/>
      <c r="S20" s="3"/>
      <c r="T20" s="3"/>
      <c r="U20" s="3"/>
      <c r="V20" s="6"/>
      <c r="W20" s="3"/>
      <c r="X20" s="3"/>
      <c r="Y20" s="3"/>
      <c r="Z20" s="6"/>
    </row>
    <row r="21" spans="1:26" s="23" customFormat="1" x14ac:dyDescent="0.3">
      <c r="A21" s="10"/>
      <c r="B21" s="25" t="s">
        <v>107</v>
      </c>
      <c r="C21" s="25"/>
      <c r="D21" s="20">
        <f>D12-D17</f>
        <v>308016.81000000006</v>
      </c>
      <c r="E21" s="13"/>
      <c r="F21" s="22">
        <f>IF(D$12=0,0,D21/D$12)</f>
        <v>0.63742007048860416</v>
      </c>
      <c r="G21" s="13"/>
      <c r="H21" s="20">
        <f>H12-H17</f>
        <v>3755.4799999999959</v>
      </c>
      <c r="I21" s="13"/>
      <c r="J21" s="22">
        <f>IF(H$12=0,0,H21/H$12)</f>
        <v>7.5368747902788871E-2</v>
      </c>
      <c r="K21" s="15"/>
      <c r="L21" s="20">
        <f>+D21-H21</f>
        <v>304261.33000000007</v>
      </c>
      <c r="M21" s="15"/>
      <c r="N21" s="22">
        <f>IF(H21=0,0,L21/H21)</f>
        <v>81.017960420505602</v>
      </c>
      <c r="O21" s="26"/>
      <c r="P21" s="20">
        <f>P12-P17</f>
        <v>313875.32000000007</v>
      </c>
      <c r="Q21" s="13"/>
      <c r="R21" s="22">
        <f>IF(P$12=0,0,P21/P$12)</f>
        <v>0.62004771285744642</v>
      </c>
      <c r="S21" s="13"/>
      <c r="T21" s="20">
        <f>T12-T17</f>
        <v>11393.779999999999</v>
      </c>
      <c r="U21" s="13"/>
      <c r="V21" s="22">
        <f>IF(T$12=0,0,T21/T$12)</f>
        <v>0.1647547573601712</v>
      </c>
      <c r="W21" s="15"/>
      <c r="X21" s="20">
        <f>+P21-T21</f>
        <v>302481.54000000004</v>
      </c>
      <c r="Y21" s="15"/>
      <c r="Z21" s="22">
        <f>IF(T21=0,0,X21/T21)</f>
        <v>26.547953357007074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1">
        <f>SUM(OSRRefD22x_0)</f>
        <v>313685.63000000006</v>
      </c>
      <c r="E23" s="21"/>
      <c r="F23" s="32">
        <f t="shared" ref="F23:F33" si="12">IF(D$12=0,0,D23/D$12)</f>
        <v>0.64915131218280653</v>
      </c>
      <c r="G23" s="21"/>
      <c r="H23" s="21">
        <f>SUM(OSRRefH22x_0)</f>
        <v>198092.34999999995</v>
      </c>
      <c r="I23" s="21"/>
      <c r="J23" s="32">
        <f t="shared" ref="J23:J33" si="13">IF(H$12=0,0,H23/H$12)</f>
        <v>3.9755164156435474</v>
      </c>
      <c r="K23" s="4"/>
      <c r="L23" s="21">
        <f t="shared" ref="L23:L33" si="14">+D23-H23</f>
        <v>115593.28000000012</v>
      </c>
      <c r="M23" s="4"/>
      <c r="N23" s="32">
        <f t="shared" ref="N23:N33" si="15">IF(H23=0,0,L23/H23)</f>
        <v>0.58353227673860275</v>
      </c>
      <c r="O23" s="10"/>
      <c r="P23" s="21">
        <f>SUM(OSRRefP22x_0)</f>
        <v>508315.52</v>
      </c>
      <c r="Q23" s="21"/>
      <c r="R23" s="32">
        <f t="shared" ref="R23:R33" si="16">IF(P$12=0,0,P23/P$12)</f>
        <v>1.0041562859607551</v>
      </c>
      <c r="S23" s="21"/>
      <c r="T23" s="21">
        <f>SUM(OSRRefT22x_0)</f>
        <v>384062.35</v>
      </c>
      <c r="U23" s="21"/>
      <c r="V23" s="32">
        <f t="shared" ref="V23:V33" si="17">IF(T$12=0,0,T23/T$12)</f>
        <v>5.5535651281161424</v>
      </c>
      <c r="W23" s="4"/>
      <c r="X23" s="21">
        <f t="shared" ref="X23:X33" si="18">+P23-T23</f>
        <v>124253.17000000004</v>
      </c>
      <c r="Y23" s="4"/>
      <c r="Z23" s="32">
        <f t="shared" ref="Z23:Z33" si="19">IF(T23=0,0,X23/T23)</f>
        <v>0.32352343310923354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75970.11</v>
      </c>
      <c r="E24" s="1"/>
      <c r="F24" s="5">
        <f t="shared" si="12"/>
        <v>0.15721503274846266</v>
      </c>
      <c r="G24" s="1"/>
      <c r="H24" s="1">
        <f>SUM(OSRRefH22_0x_0)</f>
        <v>72340.7</v>
      </c>
      <c r="I24" s="1"/>
      <c r="J24" s="5">
        <f t="shared" si="13"/>
        <v>1.4518058893700097</v>
      </c>
      <c r="K24" s="1"/>
      <c r="L24" s="1">
        <f t="shared" si="14"/>
        <v>3629.4100000000035</v>
      </c>
      <c r="M24" s="1"/>
      <c r="N24" s="5">
        <f t="shared" si="15"/>
        <v>5.0171065527427901E-2</v>
      </c>
      <c r="O24" s="14"/>
      <c r="P24" s="1">
        <f>SUM(OSRRefP22_0x_0)</f>
        <v>143769.62999999998</v>
      </c>
      <c r="Q24" s="1"/>
      <c r="R24" s="5">
        <f t="shared" si="16"/>
        <v>0.28401095779005908</v>
      </c>
      <c r="S24" s="1"/>
      <c r="T24" s="1">
        <f>SUM(OSRRefT22_0x_0)</f>
        <v>143882.51</v>
      </c>
      <c r="U24" s="1"/>
      <c r="V24" s="5">
        <f t="shared" si="17"/>
        <v>2.0805499161316447</v>
      </c>
      <c r="W24" s="1"/>
      <c r="X24" s="1">
        <f t="shared" si="18"/>
        <v>-112.88000000003376</v>
      </c>
      <c r="Y24" s="1"/>
      <c r="Z24" s="5">
        <f t="shared" si="19"/>
        <v>-7.8452898826989988E-4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9598.31</v>
      </c>
      <c r="E25" s="2"/>
      <c r="F25" s="8">
        <f t="shared" si="12"/>
        <v>1.986305694410468E-2</v>
      </c>
      <c r="G25" s="2"/>
      <c r="H25" s="7">
        <v>6963.14</v>
      </c>
      <c r="I25" s="2"/>
      <c r="J25" s="8">
        <f t="shared" si="13"/>
        <v>0.13974329333981964</v>
      </c>
      <c r="K25" s="2"/>
      <c r="L25" s="7">
        <f t="shared" si="14"/>
        <v>2635.1699999999992</v>
      </c>
      <c r="M25" s="2"/>
      <c r="N25" s="8">
        <f t="shared" si="15"/>
        <v>0.37844564377565282</v>
      </c>
      <c r="O25" s="11"/>
      <c r="P25" s="7">
        <v>16227.88</v>
      </c>
      <c r="Q25" s="2"/>
      <c r="R25" s="8">
        <f t="shared" si="16"/>
        <v>3.2057505759054569E-2</v>
      </c>
      <c r="S25" s="2"/>
      <c r="T25" s="7">
        <v>13363.65</v>
      </c>
      <c r="U25" s="2"/>
      <c r="V25" s="8">
        <f t="shared" si="17"/>
        <v>0.19323919833420095</v>
      </c>
      <c r="W25" s="2"/>
      <c r="X25" s="7">
        <f t="shared" si="18"/>
        <v>2864.2299999999996</v>
      </c>
      <c r="Y25" s="2"/>
      <c r="Z25" s="8">
        <f t="shared" si="19"/>
        <v>0.21432991735042445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4432.8599999999997</v>
      </c>
      <c r="E26" s="2"/>
      <c r="F26" s="8">
        <f t="shared" si="12"/>
        <v>9.1735056072625165E-3</v>
      </c>
      <c r="G26" s="2"/>
      <c r="H26" s="7">
        <v>3863.42</v>
      </c>
      <c r="I26" s="2"/>
      <c r="J26" s="8">
        <f t="shared" si="13"/>
        <v>7.753499633138583E-2</v>
      </c>
      <c r="K26" s="2"/>
      <c r="L26" s="7">
        <f t="shared" si="14"/>
        <v>569.4399999999996</v>
      </c>
      <c r="M26" s="2"/>
      <c r="N26" s="8">
        <f t="shared" si="15"/>
        <v>0.14739272458081171</v>
      </c>
      <c r="O26" s="11"/>
      <c r="P26" s="7">
        <v>7545.83</v>
      </c>
      <c r="Q26" s="2"/>
      <c r="R26" s="8">
        <f t="shared" si="16"/>
        <v>1.4906475071410852E-2</v>
      </c>
      <c r="S26" s="2"/>
      <c r="T26" s="7">
        <v>7434.63</v>
      </c>
      <c r="U26" s="2"/>
      <c r="V26" s="8">
        <f t="shared" si="17"/>
        <v>0.10750520562207184</v>
      </c>
      <c r="W26" s="2"/>
      <c r="X26" s="7">
        <f t="shared" si="18"/>
        <v>111.19999999999982</v>
      </c>
      <c r="Y26" s="2"/>
      <c r="Z26" s="8">
        <f t="shared" si="19"/>
        <v>1.4957032158964174E-2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42155.33</v>
      </c>
      <c r="E27" s="2"/>
      <c r="F27" s="8">
        <f t="shared" si="12"/>
        <v>8.7237619985968837E-2</v>
      </c>
      <c r="G27" s="2"/>
      <c r="H27" s="7">
        <v>44390.99</v>
      </c>
      <c r="I27" s="2"/>
      <c r="J27" s="8">
        <f t="shared" si="13"/>
        <v>0.89088301214897292</v>
      </c>
      <c r="K27" s="2"/>
      <c r="L27" s="7">
        <f t="shared" si="14"/>
        <v>-2235.6599999999962</v>
      </c>
      <c r="M27" s="2"/>
      <c r="N27" s="8">
        <f t="shared" si="15"/>
        <v>-5.0362922746259912E-2</v>
      </c>
      <c r="O27" s="11"/>
      <c r="P27" s="7">
        <v>82921.100000000006</v>
      </c>
      <c r="Q27" s="2"/>
      <c r="R27" s="8">
        <f t="shared" si="16"/>
        <v>0.16380720345461885</v>
      </c>
      <c r="S27" s="2"/>
      <c r="T27" s="7">
        <v>86082.08</v>
      </c>
      <c r="U27" s="2"/>
      <c r="V27" s="8">
        <f t="shared" si="17"/>
        <v>1.2447521545491353</v>
      </c>
      <c r="W27" s="2"/>
      <c r="X27" s="7">
        <f t="shared" si="18"/>
        <v>-3160.9799999999959</v>
      </c>
      <c r="Y27" s="2"/>
      <c r="Z27" s="8">
        <f t="shared" si="19"/>
        <v>-3.6720534633921435E-2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320.16000000000003</v>
      </c>
      <c r="E28" s="2"/>
      <c r="F28" s="8">
        <f t="shared" si="12"/>
        <v>6.6254958541915772E-4</v>
      </c>
      <c r="G28" s="2"/>
      <c r="H28" s="7">
        <v>238.78</v>
      </c>
      <c r="I28" s="2"/>
      <c r="J28" s="8">
        <f t="shared" si="13"/>
        <v>4.7920770778243915E-3</v>
      </c>
      <c r="K28" s="2"/>
      <c r="L28" s="7">
        <f t="shared" si="14"/>
        <v>81.380000000000024</v>
      </c>
      <c r="M28" s="2"/>
      <c r="N28" s="8">
        <f t="shared" si="15"/>
        <v>0.34081581371974212</v>
      </c>
      <c r="O28" s="11"/>
      <c r="P28" s="7">
        <v>544.98</v>
      </c>
      <c r="Q28" s="2"/>
      <c r="R28" s="8">
        <f t="shared" si="16"/>
        <v>1.0765854497672869E-3</v>
      </c>
      <c r="S28" s="2"/>
      <c r="T28" s="7">
        <v>531.4</v>
      </c>
      <c r="U28" s="2"/>
      <c r="V28" s="8">
        <f t="shared" si="17"/>
        <v>7.6840765804847009E-3</v>
      </c>
      <c r="W28" s="2"/>
      <c r="X28" s="7">
        <f t="shared" si="18"/>
        <v>13.580000000000041</v>
      </c>
      <c r="Y28" s="2"/>
      <c r="Z28" s="8">
        <f t="shared" si="19"/>
        <v>2.555513737297712E-2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3736.04</v>
      </c>
      <c r="E29" s="2"/>
      <c r="F29" s="8">
        <f t="shared" si="12"/>
        <v>7.7314834867234818E-3</v>
      </c>
      <c r="G29" s="2"/>
      <c r="H29" s="7">
        <v>3585.18</v>
      </c>
      <c r="I29" s="2"/>
      <c r="J29" s="8">
        <f t="shared" si="13"/>
        <v>7.1950996305697498E-2</v>
      </c>
      <c r="K29" s="2"/>
      <c r="L29" s="7">
        <f t="shared" si="14"/>
        <v>150.86000000000013</v>
      </c>
      <c r="M29" s="2"/>
      <c r="N29" s="8">
        <f t="shared" si="15"/>
        <v>4.2078779866003974E-2</v>
      </c>
      <c r="O29" s="11"/>
      <c r="P29" s="7">
        <v>7273.57</v>
      </c>
      <c r="Q29" s="2"/>
      <c r="R29" s="8">
        <f t="shared" si="16"/>
        <v>1.4368636702014468E-2</v>
      </c>
      <c r="S29" s="2"/>
      <c r="T29" s="7">
        <v>8962.94</v>
      </c>
      <c r="U29" s="2"/>
      <c r="V29" s="8">
        <f t="shared" si="17"/>
        <v>0.12960466192376657</v>
      </c>
      <c r="W29" s="2"/>
      <c r="X29" s="7">
        <f t="shared" si="18"/>
        <v>-1689.3700000000008</v>
      </c>
      <c r="Y29" s="2"/>
      <c r="Z29" s="8">
        <f t="shared" si="19"/>
        <v>-0.18848391264473496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2188.98</v>
      </c>
      <c r="E30" s="2"/>
      <c r="F30" s="8">
        <f t="shared" si="12"/>
        <v>4.5299468749713514E-3</v>
      </c>
      <c r="G30" s="2"/>
      <c r="H30" s="7">
        <v>1373.88</v>
      </c>
      <c r="I30" s="2"/>
      <c r="J30" s="8">
        <f t="shared" si="13"/>
        <v>2.7572404957204855E-2</v>
      </c>
      <c r="K30" s="2"/>
      <c r="L30" s="7">
        <f t="shared" si="14"/>
        <v>815.09999999999991</v>
      </c>
      <c r="M30" s="2"/>
      <c r="N30" s="8">
        <f t="shared" si="15"/>
        <v>0.59328325617957889</v>
      </c>
      <c r="O30" s="11"/>
      <c r="P30" s="7">
        <v>3470.62</v>
      </c>
      <c r="Q30" s="2"/>
      <c r="R30" s="8">
        <f t="shared" si="16"/>
        <v>6.8560662660489217E-3</v>
      </c>
      <c r="S30" s="2"/>
      <c r="T30" s="7">
        <v>3343.02</v>
      </c>
      <c r="U30" s="2"/>
      <c r="V30" s="8">
        <f t="shared" si="17"/>
        <v>4.8340274162762452E-2</v>
      </c>
      <c r="W30" s="2"/>
      <c r="X30" s="7">
        <f t="shared" si="18"/>
        <v>127.59999999999991</v>
      </c>
      <c r="Y30" s="2"/>
      <c r="Z30" s="8">
        <f t="shared" si="19"/>
        <v>3.8169080651626344E-2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6724.79</v>
      </c>
      <c r="E31" s="2"/>
      <c r="F31" s="8">
        <f t="shared" si="12"/>
        <v>1.3916500582617746E-2</v>
      </c>
      <c r="G31" s="2"/>
      <c r="H31" s="7">
        <v>5869.15</v>
      </c>
      <c r="I31" s="2"/>
      <c r="J31" s="8">
        <f t="shared" si="13"/>
        <v>0.11778800226699482</v>
      </c>
      <c r="K31" s="2"/>
      <c r="L31" s="7">
        <f t="shared" si="14"/>
        <v>855.64000000000033</v>
      </c>
      <c r="M31" s="2"/>
      <c r="N31" s="8">
        <f t="shared" si="15"/>
        <v>0.1457860167145158</v>
      </c>
      <c r="O31" s="11"/>
      <c r="P31" s="7">
        <v>12754.87</v>
      </c>
      <c r="Q31" s="2"/>
      <c r="R31" s="8">
        <f t="shared" si="16"/>
        <v>2.5196718146855437E-2</v>
      </c>
      <c r="S31" s="2"/>
      <c r="T31" s="7">
        <v>11321.27</v>
      </c>
      <c r="U31" s="2"/>
      <c r="V31" s="8">
        <f t="shared" si="17"/>
        <v>0.16370625831453525</v>
      </c>
      <c r="W31" s="2"/>
      <c r="X31" s="7">
        <f t="shared" si="18"/>
        <v>1433.6000000000004</v>
      </c>
      <c r="Y31" s="2"/>
      <c r="Z31" s="8">
        <f t="shared" si="19"/>
        <v>0.12662890294110116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4503.7</v>
      </c>
      <c r="E32" s="2"/>
      <c r="F32" s="8">
        <f t="shared" si="12"/>
        <v>9.3201042224271002E-3</v>
      </c>
      <c r="G32" s="2"/>
      <c r="H32" s="7">
        <v>4078.56</v>
      </c>
      <c r="I32" s="2"/>
      <c r="J32" s="8">
        <f t="shared" si="13"/>
        <v>8.1852642124681504E-2</v>
      </c>
      <c r="K32" s="2"/>
      <c r="L32" s="7">
        <f t="shared" si="14"/>
        <v>425.13999999999987</v>
      </c>
      <c r="M32" s="2"/>
      <c r="N32" s="8">
        <f t="shared" si="15"/>
        <v>0.10423777019340157</v>
      </c>
      <c r="O32" s="11"/>
      <c r="P32" s="7">
        <v>8452.51</v>
      </c>
      <c r="Q32" s="2"/>
      <c r="R32" s="8">
        <f t="shared" si="16"/>
        <v>1.6697583911359115E-2</v>
      </c>
      <c r="S32" s="2"/>
      <c r="T32" s="7">
        <v>8157.12</v>
      </c>
      <c r="U32" s="2"/>
      <c r="V32" s="8">
        <f t="shared" si="17"/>
        <v>0.11795245531841055</v>
      </c>
      <c r="W32" s="2"/>
      <c r="X32" s="7">
        <f t="shared" si="18"/>
        <v>295.39000000000033</v>
      </c>
      <c r="Y32" s="2"/>
      <c r="Z32" s="8">
        <f t="shared" si="19"/>
        <v>3.6212535796947984E-2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2309.94</v>
      </c>
      <c r="E33" s="2"/>
      <c r="F33" s="8">
        <f t="shared" si="12"/>
        <v>4.7802654589677949E-3</v>
      </c>
      <c r="G33" s="2"/>
      <c r="H33" s="7">
        <v>1977.6</v>
      </c>
      <c r="I33" s="2"/>
      <c r="J33" s="8">
        <f t="shared" si="13"/>
        <v>3.9688464817428243E-2</v>
      </c>
      <c r="K33" s="2"/>
      <c r="L33" s="7">
        <f t="shared" si="14"/>
        <v>332.34000000000015</v>
      </c>
      <c r="M33" s="2"/>
      <c r="N33" s="8">
        <f t="shared" si="15"/>
        <v>0.16805218446601949</v>
      </c>
      <c r="O33" s="11"/>
      <c r="P33" s="7">
        <v>4578.2700000000004</v>
      </c>
      <c r="Q33" s="2"/>
      <c r="R33" s="8">
        <f t="shared" si="16"/>
        <v>9.0441830289296442E-3</v>
      </c>
      <c r="S33" s="2"/>
      <c r="T33" s="7">
        <v>4686.3999999999996</v>
      </c>
      <c r="U33" s="2"/>
      <c r="V33" s="8">
        <f t="shared" si="17"/>
        <v>6.7765631326276818E-2</v>
      </c>
      <c r="W33" s="2"/>
      <c r="X33" s="7">
        <f t="shared" si="18"/>
        <v>-108.1299999999992</v>
      </c>
      <c r="Y33" s="2"/>
      <c r="Z33" s="8">
        <f t="shared" si="19"/>
        <v>-2.3073147832024413E-2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141227.35</v>
      </c>
      <c r="E34" s="1"/>
      <c r="F34" s="5">
        <f t="shared" ref="F34:F40" si="20">IF(D$12=0,0,D34/D$12)</f>
        <v>0.292260501600282</v>
      </c>
      <c r="G34" s="1"/>
      <c r="H34" s="1">
        <f>SUM(OSRRefH22_1x_0)</f>
        <v>87695.920000000013</v>
      </c>
      <c r="I34" s="1"/>
      <c r="J34" s="5">
        <f t="shared" ref="J34:J40" si="21">IF(H$12=0,0,H34/H$12)</f>
        <v>1.7599698804368944</v>
      </c>
      <c r="K34" s="1"/>
      <c r="L34" s="1">
        <f t="shared" ref="L34:L40" si="22">+D34-H34</f>
        <v>53531.429999999993</v>
      </c>
      <c r="M34" s="1"/>
      <c r="N34" s="5">
        <f t="shared" ref="N34:N40" si="23">IF(H34=0,0,L34/H34)</f>
        <v>0.61042098651795873</v>
      </c>
      <c r="O34" s="14"/>
      <c r="P34" s="1">
        <f>SUM(OSRRefP22_1x_0)</f>
        <v>241422.88999999996</v>
      </c>
      <c r="Q34" s="1"/>
      <c r="R34" s="5">
        <f t="shared" ref="R34:R40" si="24">IF(P$12=0,0,P34/P$12)</f>
        <v>0.47692093400632718</v>
      </c>
      <c r="S34" s="1"/>
      <c r="T34" s="1">
        <f>SUM(OSRRefT22_1x_0)</f>
        <v>174693.48</v>
      </c>
      <c r="U34" s="1"/>
      <c r="V34" s="5">
        <f t="shared" ref="V34:V40" si="25">IF(T$12=0,0,T34/T$12)</f>
        <v>2.5260784313725493</v>
      </c>
      <c r="W34" s="1"/>
      <c r="X34" s="1">
        <f t="shared" ref="X34:X40" si="26">+P34-T34</f>
        <v>66729.409999999945</v>
      </c>
      <c r="Y34" s="1"/>
      <c r="Z34" s="5">
        <f t="shared" ref="Z34:Z40" si="27">IF(T34=0,0,X34/T34)</f>
        <v>0.38197996857123656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7">
        <v>8959.5400000000009</v>
      </c>
      <c r="E35" s="2"/>
      <c r="F35" s="8">
        <f t="shared" si="20"/>
        <v>1.8541165394010371E-2</v>
      </c>
      <c r="G35" s="2"/>
      <c r="H35" s="7">
        <v>5375.72</v>
      </c>
      <c r="I35" s="2"/>
      <c r="J35" s="8">
        <f t="shared" si="21"/>
        <v>0.10788535299774746</v>
      </c>
      <c r="K35" s="2"/>
      <c r="L35" s="7">
        <f t="shared" si="22"/>
        <v>3583.8200000000006</v>
      </c>
      <c r="M35" s="2"/>
      <c r="N35" s="8">
        <f t="shared" si="23"/>
        <v>0.66666790681062271</v>
      </c>
      <c r="O35" s="11"/>
      <c r="P35" s="7">
        <v>20159.080000000002</v>
      </c>
      <c r="Q35" s="2"/>
      <c r="R35" s="8">
        <f t="shared" si="24"/>
        <v>3.9823428765633086E-2</v>
      </c>
      <c r="S35" s="2"/>
      <c r="T35" s="7">
        <v>16575.259999999998</v>
      </c>
      <c r="U35" s="2"/>
      <c r="V35" s="8">
        <f t="shared" si="25"/>
        <v>0.23967927584012955</v>
      </c>
      <c r="W35" s="2"/>
      <c r="X35" s="7">
        <f t="shared" si="26"/>
        <v>3583.8200000000033</v>
      </c>
      <c r="Y35" s="2"/>
      <c r="Z35" s="8">
        <f t="shared" si="27"/>
        <v>0.21621500959864301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7">
        <v>31411.62</v>
      </c>
      <c r="E36" s="2"/>
      <c r="F36" s="8">
        <f t="shared" si="20"/>
        <v>6.5004234783683543E-2</v>
      </c>
      <c r="G36" s="2"/>
      <c r="H36" s="7">
        <v>27627.58</v>
      </c>
      <c r="I36" s="2"/>
      <c r="J36" s="8">
        <f t="shared" si="21"/>
        <v>0.5544580485541486</v>
      </c>
      <c r="K36" s="2"/>
      <c r="L36" s="7">
        <f t="shared" si="22"/>
        <v>3784.0399999999972</v>
      </c>
      <c r="M36" s="2"/>
      <c r="N36" s="8">
        <f t="shared" si="23"/>
        <v>0.13696603176970248</v>
      </c>
      <c r="O36" s="11"/>
      <c r="P36" s="7">
        <v>66535.06</v>
      </c>
      <c r="Q36" s="2"/>
      <c r="R36" s="8">
        <f t="shared" si="24"/>
        <v>0.1314372591570212</v>
      </c>
      <c r="S36" s="2"/>
      <c r="T36" s="7">
        <v>61864.12</v>
      </c>
      <c r="U36" s="2"/>
      <c r="V36" s="8">
        <f t="shared" si="25"/>
        <v>0.89455896813002489</v>
      </c>
      <c r="W36" s="2"/>
      <c r="X36" s="7">
        <f t="shared" si="26"/>
        <v>4670.9399999999951</v>
      </c>
      <c r="Y36" s="2"/>
      <c r="Z36" s="8">
        <f t="shared" si="27"/>
        <v>7.5503215757372691E-2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7">
        <v>48819.7</v>
      </c>
      <c r="E37" s="2"/>
      <c r="F37" s="8">
        <f t="shared" si="20"/>
        <v>0.10102908544255262</v>
      </c>
      <c r="G37" s="2"/>
      <c r="H37" s="7">
        <v>41720.519999999997</v>
      </c>
      <c r="I37" s="2"/>
      <c r="J37" s="8">
        <f t="shared" si="21"/>
        <v>0.83728933565170471</v>
      </c>
      <c r="K37" s="2"/>
      <c r="L37" s="7">
        <f t="shared" si="22"/>
        <v>7099.18</v>
      </c>
      <c r="M37" s="2"/>
      <c r="N37" s="8">
        <f t="shared" si="23"/>
        <v>0.17016039109771405</v>
      </c>
      <c r="O37" s="11"/>
      <c r="P37" s="7">
        <v>87289.59</v>
      </c>
      <c r="Q37" s="2"/>
      <c r="R37" s="8">
        <f t="shared" si="24"/>
        <v>0.17243697476999534</v>
      </c>
      <c r="S37" s="2"/>
      <c r="T37" s="7">
        <v>74881</v>
      </c>
      <c r="U37" s="2"/>
      <c r="V37" s="8">
        <f t="shared" si="25"/>
        <v>1.0827838510035284</v>
      </c>
      <c r="W37" s="2"/>
      <c r="X37" s="7">
        <f t="shared" si="26"/>
        <v>12408.589999999997</v>
      </c>
      <c r="Y37" s="2"/>
      <c r="Z37" s="8">
        <f t="shared" si="27"/>
        <v>0.16571079446054401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7">
        <v>11047.7</v>
      </c>
      <c r="E38" s="2"/>
      <c r="F38" s="8">
        <f t="shared" si="20"/>
        <v>2.2862472060329923E-2</v>
      </c>
      <c r="G38" s="2"/>
      <c r="H38" s="7">
        <v>953.1</v>
      </c>
      <c r="I38" s="2"/>
      <c r="J38" s="8">
        <f t="shared" si="21"/>
        <v>1.9127768920656787E-2</v>
      </c>
      <c r="K38" s="2"/>
      <c r="L38" s="7">
        <f t="shared" si="22"/>
        <v>10094.6</v>
      </c>
      <c r="M38" s="2"/>
      <c r="N38" s="8">
        <f t="shared" si="23"/>
        <v>10.591333543174903</v>
      </c>
      <c r="O38" s="11"/>
      <c r="P38" s="7">
        <v>15673.58</v>
      </c>
      <c r="Q38" s="2"/>
      <c r="R38" s="8">
        <f t="shared" si="24"/>
        <v>3.0962509034760086E-2</v>
      </c>
      <c r="S38" s="2"/>
      <c r="T38" s="7">
        <v>953.1</v>
      </c>
      <c r="U38" s="2"/>
      <c r="V38" s="8">
        <f t="shared" si="25"/>
        <v>1.3781884435190005E-2</v>
      </c>
      <c r="W38" s="2"/>
      <c r="X38" s="7">
        <f t="shared" si="26"/>
        <v>14720.48</v>
      </c>
      <c r="Y38" s="2"/>
      <c r="Z38" s="8">
        <f t="shared" si="27"/>
        <v>15.444843143426713</v>
      </c>
    </row>
    <row r="39" spans="1:26" s="24" customFormat="1" hidden="1" outlineLevel="2" x14ac:dyDescent="0.3">
      <c r="A39" s="27"/>
      <c r="B39" s="11" t="str">
        <f>CONCATENATE("          ", "6007", " - ", "STUDENT HOURLY")</f>
        <v xml:space="preserve">          6007 - STUDENT HOURLY</v>
      </c>
      <c r="C39" s="11"/>
      <c r="D39" s="7">
        <v>39359.33</v>
      </c>
      <c r="E39" s="2"/>
      <c r="F39" s="8">
        <f t="shared" si="20"/>
        <v>8.1451486050336752E-2</v>
      </c>
      <c r="G39" s="2"/>
      <c r="H39" s="7">
        <v>11402.67</v>
      </c>
      <c r="I39" s="2"/>
      <c r="J39" s="8">
        <f t="shared" si="21"/>
        <v>0.22884024429598732</v>
      </c>
      <c r="K39" s="2"/>
      <c r="L39" s="7">
        <f t="shared" si="22"/>
        <v>27956.660000000003</v>
      </c>
      <c r="M39" s="2"/>
      <c r="N39" s="8">
        <f t="shared" si="23"/>
        <v>2.4517643674683214</v>
      </c>
      <c r="O39" s="11"/>
      <c r="P39" s="7">
        <v>50136.12</v>
      </c>
      <c r="Q39" s="2"/>
      <c r="R39" s="8">
        <f t="shared" si="24"/>
        <v>9.9041831442964273E-2</v>
      </c>
      <c r="S39" s="2"/>
      <c r="T39" s="7">
        <v>19803.669999999998</v>
      </c>
      <c r="U39" s="2"/>
      <c r="V39" s="8">
        <f t="shared" si="25"/>
        <v>0.28636228237607725</v>
      </c>
      <c r="W39" s="2"/>
      <c r="X39" s="7">
        <f t="shared" si="26"/>
        <v>30332.450000000004</v>
      </c>
      <c r="Y39" s="2"/>
      <c r="Z39" s="8">
        <f t="shared" si="27"/>
        <v>1.5316580209627815</v>
      </c>
    </row>
    <row r="40" spans="1:26" s="24" customFormat="1" hidden="1" outlineLevel="2" x14ac:dyDescent="0.3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7">
        <v>1629.46</v>
      </c>
      <c r="E40" s="2"/>
      <c r="F40" s="8">
        <f t="shared" si="20"/>
        <v>3.3720578693687553E-3</v>
      </c>
      <c r="G40" s="2"/>
      <c r="H40" s="7">
        <v>616.33000000000004</v>
      </c>
      <c r="I40" s="2"/>
      <c r="J40" s="8">
        <f t="shared" si="21"/>
        <v>1.2369130016649247E-2</v>
      </c>
      <c r="K40" s="2"/>
      <c r="L40" s="7">
        <f t="shared" si="22"/>
        <v>1013.13</v>
      </c>
      <c r="M40" s="2"/>
      <c r="N40" s="8">
        <f t="shared" si="23"/>
        <v>1.6438109454350753</v>
      </c>
      <c r="O40" s="11"/>
      <c r="P40" s="7">
        <v>1629.46</v>
      </c>
      <c r="Q40" s="2"/>
      <c r="R40" s="8">
        <f t="shared" si="24"/>
        <v>3.218930835953252E-3</v>
      </c>
      <c r="S40" s="2"/>
      <c r="T40" s="7">
        <v>616.33000000000004</v>
      </c>
      <c r="U40" s="2"/>
      <c r="V40" s="8">
        <f t="shared" si="25"/>
        <v>8.912169587599052E-3</v>
      </c>
      <c r="W40" s="2"/>
      <c r="X40" s="7">
        <f t="shared" si="26"/>
        <v>1013.13</v>
      </c>
      <c r="Y40" s="2"/>
      <c r="Z40" s="8">
        <f t="shared" si="27"/>
        <v>1.6438109454350753</v>
      </c>
    </row>
    <row r="41" spans="1:26" s="28" customFormat="1" outlineLevel="1" collapsed="1" x14ac:dyDescent="0.3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1971.2</v>
      </c>
      <c r="E41" s="1"/>
      <c r="F41" s="5">
        <f t="shared" ref="F41:F62" si="28">IF(D$12=0,0,D41/D$12)</f>
        <v>4.0792658132753736E-3</v>
      </c>
      <c r="G41" s="1"/>
      <c r="H41" s="1">
        <f>SUM(OSRRefH22_2x_0)</f>
        <v>704.51</v>
      </c>
      <c r="I41" s="1"/>
      <c r="J41" s="5">
        <f t="shared" ref="J41:J62" si="29">IF(H$12=0,0,H41/H$12)</f>
        <v>1.4138814901156135E-2</v>
      </c>
      <c r="K41" s="1"/>
      <c r="L41" s="1">
        <f t="shared" ref="L41:L62" si="30">+D41-H41</f>
        <v>1266.69</v>
      </c>
      <c r="M41" s="1"/>
      <c r="N41" s="5">
        <f t="shared" ref="N41:N62" si="31">IF(H41=0,0,L41/H41)</f>
        <v>1.7979730592894354</v>
      </c>
      <c r="O41" s="14"/>
      <c r="P41" s="1">
        <f>SUM(OSRRefP22_2x_0)</f>
        <v>2092.14</v>
      </c>
      <c r="Q41" s="1"/>
      <c r="R41" s="5">
        <f t="shared" ref="R41:R62" si="32">IF(P$12=0,0,P41/P$12)</f>
        <v>4.1329360396273832E-3</v>
      </c>
      <c r="S41" s="1"/>
      <c r="T41" s="1">
        <f>SUM(OSRRefT22_2x_0)</f>
        <v>1429</v>
      </c>
      <c r="U41" s="1"/>
      <c r="V41" s="5">
        <f t="shared" ref="V41:V62" si="33">IF(T$12=0,0,T41/T$12)</f>
        <v>2.0663427612933077E-2</v>
      </c>
      <c r="W41" s="1"/>
      <c r="X41" s="1">
        <f t="shared" ref="X41:X62" si="34">+P41-T41</f>
        <v>663.13999999999987</v>
      </c>
      <c r="Y41" s="1"/>
      <c r="Z41" s="5">
        <f t="shared" ref="Z41:Z62" si="35">IF(T41=0,0,X41/T41)</f>
        <v>0.4640587823652903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7">
        <v>1971.2</v>
      </c>
      <c r="E42" s="2"/>
      <c r="F42" s="8">
        <f t="shared" si="28"/>
        <v>4.0792658132753736E-3</v>
      </c>
      <c r="G42" s="2"/>
      <c r="H42" s="7">
        <v>704.51</v>
      </c>
      <c r="I42" s="2"/>
      <c r="J42" s="8">
        <f t="shared" si="29"/>
        <v>1.4138814901156135E-2</v>
      </c>
      <c r="K42" s="2"/>
      <c r="L42" s="7">
        <f t="shared" si="30"/>
        <v>1266.69</v>
      </c>
      <c r="M42" s="2"/>
      <c r="N42" s="8">
        <f t="shared" si="31"/>
        <v>1.7979730592894354</v>
      </c>
      <c r="O42" s="11"/>
      <c r="P42" s="7">
        <v>2092.14</v>
      </c>
      <c r="Q42" s="2"/>
      <c r="R42" s="8">
        <f t="shared" si="32"/>
        <v>4.1329360396273832E-3</v>
      </c>
      <c r="S42" s="2"/>
      <c r="T42" s="7">
        <v>1429</v>
      </c>
      <c r="U42" s="2"/>
      <c r="V42" s="8">
        <f t="shared" si="33"/>
        <v>2.0663427612933077E-2</v>
      </c>
      <c r="W42" s="2"/>
      <c r="X42" s="7">
        <f t="shared" si="34"/>
        <v>663.13999999999987</v>
      </c>
      <c r="Y42" s="2"/>
      <c r="Z42" s="8">
        <f t="shared" si="35"/>
        <v>0.4640587823652903</v>
      </c>
    </row>
    <row r="43" spans="1:26" s="28" customFormat="1" outlineLevel="1" collapsed="1" x14ac:dyDescent="0.3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32</v>
      </c>
      <c r="I43" s="1"/>
      <c r="J43" s="5">
        <f t="shared" si="29"/>
        <v>6.4220816856680007E-4</v>
      </c>
      <c r="K43" s="1"/>
      <c r="L43" s="1">
        <f t="shared" si="30"/>
        <v>-32</v>
      </c>
      <c r="M43" s="1"/>
      <c r="N43" s="5">
        <f t="shared" si="31"/>
        <v>-1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32</v>
      </c>
      <c r="U43" s="1"/>
      <c r="V43" s="5">
        <f t="shared" si="33"/>
        <v>4.6272196194111864E-4</v>
      </c>
      <c r="W43" s="1"/>
      <c r="X43" s="1">
        <f t="shared" si="34"/>
        <v>-32</v>
      </c>
      <c r="Y43" s="1"/>
      <c r="Z43" s="5">
        <f t="shared" si="35"/>
        <v>-1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8">
        <f t="shared" si="28"/>
        <v>0</v>
      </c>
      <c r="G44" s="2"/>
      <c r="H44" s="7">
        <v>32</v>
      </c>
      <c r="I44" s="2"/>
      <c r="J44" s="8">
        <f t="shared" si="29"/>
        <v>6.4220816856680007E-4</v>
      </c>
      <c r="K44" s="2"/>
      <c r="L44" s="7">
        <f t="shared" si="30"/>
        <v>-32</v>
      </c>
      <c r="M44" s="2"/>
      <c r="N44" s="8">
        <f t="shared" si="31"/>
        <v>-1</v>
      </c>
      <c r="O44" s="11"/>
      <c r="P44" s="7"/>
      <c r="Q44" s="2"/>
      <c r="R44" s="8">
        <f t="shared" si="32"/>
        <v>0</v>
      </c>
      <c r="S44" s="2"/>
      <c r="T44" s="7">
        <v>32</v>
      </c>
      <c r="U44" s="2"/>
      <c r="V44" s="8">
        <f t="shared" si="33"/>
        <v>4.6272196194111864E-4</v>
      </c>
      <c r="W44" s="2"/>
      <c r="X44" s="7">
        <f t="shared" si="34"/>
        <v>-32</v>
      </c>
      <c r="Y44" s="2"/>
      <c r="Z44" s="8">
        <f t="shared" si="35"/>
        <v>-1</v>
      </c>
    </row>
    <row r="45" spans="1:26" s="28" customFormat="1" outlineLevel="1" collapsed="1" x14ac:dyDescent="0.3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121.67</v>
      </c>
      <c r="E45" s="1"/>
      <c r="F45" s="5">
        <f t="shared" si="28"/>
        <v>2.5178788124047014E-4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121.67</v>
      </c>
      <c r="M45" s="1"/>
      <c r="N45" s="5">
        <f t="shared" si="31"/>
        <v>0</v>
      </c>
      <c r="O45" s="14"/>
      <c r="P45" s="1">
        <f>SUM(OSRRefP22_4x_0)</f>
        <v>198.72</v>
      </c>
      <c r="Q45" s="1"/>
      <c r="R45" s="5">
        <f t="shared" si="32"/>
        <v>3.9256314099188089E-4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198.72</v>
      </c>
      <c r="Y45" s="1"/>
      <c r="Z45" s="5">
        <f t="shared" si="35"/>
        <v>0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7">
        <v>121.67</v>
      </c>
      <c r="E46" s="2"/>
      <c r="F46" s="8">
        <f t="shared" si="28"/>
        <v>2.5178788124047014E-4</v>
      </c>
      <c r="G46" s="2"/>
      <c r="H46" s="7"/>
      <c r="I46" s="2"/>
      <c r="J46" s="8">
        <f t="shared" si="29"/>
        <v>0</v>
      </c>
      <c r="K46" s="2"/>
      <c r="L46" s="7">
        <f t="shared" si="30"/>
        <v>121.67</v>
      </c>
      <c r="M46" s="2"/>
      <c r="N46" s="8">
        <f t="shared" si="31"/>
        <v>0</v>
      </c>
      <c r="O46" s="11"/>
      <c r="P46" s="7">
        <v>198.72</v>
      </c>
      <c r="Q46" s="2"/>
      <c r="R46" s="8">
        <f t="shared" si="32"/>
        <v>3.9256314099188089E-4</v>
      </c>
      <c r="S46" s="2"/>
      <c r="T46" s="7"/>
      <c r="U46" s="2"/>
      <c r="V46" s="8">
        <f t="shared" si="33"/>
        <v>0</v>
      </c>
      <c r="W46" s="2"/>
      <c r="X46" s="7">
        <f t="shared" si="34"/>
        <v>198.72</v>
      </c>
      <c r="Y46" s="2"/>
      <c r="Z46" s="8">
        <f t="shared" si="35"/>
        <v>0</v>
      </c>
    </row>
    <row r="47" spans="1:26" s="28" customFormat="1" outlineLevel="1" collapsed="1" x14ac:dyDescent="0.3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1.5728516582395569E-3</v>
      </c>
      <c r="G47" s="1"/>
      <c r="H47" s="1">
        <f>SUM(OSRRefH22_5x_0)</f>
        <v>775.54</v>
      </c>
      <c r="I47" s="1"/>
      <c r="J47" s="5">
        <f t="shared" si="29"/>
        <v>1.5564316345321754E-2</v>
      </c>
      <c r="K47" s="1"/>
      <c r="L47" s="1">
        <f t="shared" si="30"/>
        <v>-15.5</v>
      </c>
      <c r="M47" s="1"/>
      <c r="N47" s="5">
        <f t="shared" si="31"/>
        <v>-1.9986074219253681E-2</v>
      </c>
      <c r="O47" s="14"/>
      <c r="P47" s="1">
        <f>SUM(OSRRefP22_5x_0)</f>
        <v>1520.08</v>
      </c>
      <c r="Q47" s="1"/>
      <c r="R47" s="5">
        <f t="shared" si="32"/>
        <v>3.0028551698819358E-3</v>
      </c>
      <c r="S47" s="1"/>
      <c r="T47" s="1">
        <f>SUM(OSRRefT22_5x_0)</f>
        <v>988.56</v>
      </c>
      <c r="U47" s="1"/>
      <c r="V47" s="5">
        <f t="shared" si="33"/>
        <v>1.4294638209266006E-2</v>
      </c>
      <c r="W47" s="1"/>
      <c r="X47" s="1">
        <f t="shared" si="34"/>
        <v>531.52</v>
      </c>
      <c r="Y47" s="1"/>
      <c r="Z47" s="5">
        <f t="shared" si="35"/>
        <v>0.53767095573359236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760.04</v>
      </c>
      <c r="E48" s="2"/>
      <c r="F48" s="8">
        <f t="shared" si="28"/>
        <v>1.5728516582395569E-3</v>
      </c>
      <c r="G48" s="2"/>
      <c r="H48" s="7">
        <v>775.54</v>
      </c>
      <c r="I48" s="2"/>
      <c r="J48" s="8">
        <f t="shared" si="29"/>
        <v>1.5564316345321754E-2</v>
      </c>
      <c r="K48" s="2"/>
      <c r="L48" s="7">
        <f t="shared" si="30"/>
        <v>-15.5</v>
      </c>
      <c r="M48" s="2"/>
      <c r="N48" s="8">
        <f t="shared" si="31"/>
        <v>-1.9986074219253681E-2</v>
      </c>
      <c r="O48" s="11"/>
      <c r="P48" s="7">
        <v>1520.08</v>
      </c>
      <c r="Q48" s="2"/>
      <c r="R48" s="8">
        <f t="shared" si="32"/>
        <v>3.0028551698819358E-3</v>
      </c>
      <c r="S48" s="2"/>
      <c r="T48" s="7">
        <v>988.56</v>
      </c>
      <c r="U48" s="2"/>
      <c r="V48" s="8">
        <f t="shared" si="33"/>
        <v>1.4294638209266006E-2</v>
      </c>
      <c r="W48" s="2"/>
      <c r="X48" s="7">
        <f t="shared" si="34"/>
        <v>531.52</v>
      </c>
      <c r="Y48" s="2"/>
      <c r="Z48" s="8">
        <f t="shared" si="35"/>
        <v>0.53767095573359236</v>
      </c>
    </row>
    <row r="49" spans="1:26" s="28" customFormat="1" outlineLevel="1" collapsed="1" x14ac:dyDescent="0.3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4261.5600000000004</v>
      </c>
      <c r="E49" s="1"/>
      <c r="F49" s="5">
        <f t="shared" si="28"/>
        <v>8.8190117792318404E-3</v>
      </c>
      <c r="G49" s="1"/>
      <c r="H49" s="1">
        <f>SUM(OSRRefH22_6x_0)</f>
        <v>2222.02</v>
      </c>
      <c r="I49" s="1"/>
      <c r="J49" s="5">
        <f t="shared" si="29"/>
        <v>4.4593731084962535E-2</v>
      </c>
      <c r="K49" s="1"/>
      <c r="L49" s="1">
        <f t="shared" si="30"/>
        <v>2039.5400000000004</v>
      </c>
      <c r="M49" s="1"/>
      <c r="N49" s="5">
        <f t="shared" si="31"/>
        <v>0.91787652676393572</v>
      </c>
      <c r="O49" s="14"/>
      <c r="P49" s="1">
        <f>SUM(OSRRefP22_6x_0)</f>
        <v>4261.5600000000004</v>
      </c>
      <c r="Q49" s="1"/>
      <c r="R49" s="5">
        <f t="shared" si="32"/>
        <v>8.4185355229738339E-3</v>
      </c>
      <c r="S49" s="1"/>
      <c r="T49" s="1">
        <f>SUM(OSRRefT22_6x_0)</f>
        <v>2222.02</v>
      </c>
      <c r="U49" s="1"/>
      <c r="V49" s="5">
        <f t="shared" si="33"/>
        <v>3.2130545433512639E-2</v>
      </c>
      <c r="W49" s="1"/>
      <c r="X49" s="1">
        <f t="shared" si="34"/>
        <v>2039.5400000000004</v>
      </c>
      <c r="Y49" s="1"/>
      <c r="Z49" s="5">
        <f t="shared" si="35"/>
        <v>0.91787652676393572</v>
      </c>
    </row>
    <row r="50" spans="1:26" s="24" customFormat="1" hidden="1" outlineLevel="2" x14ac:dyDescent="0.3">
      <c r="A50" s="27"/>
      <c r="B50" s="11" t="str">
        <f>CONCATENATE("          ", "6399", " - ", "DONATION-ON CAMPUS")</f>
        <v xml:space="preserve">          6399 - DONATION-ON CAMPUS</v>
      </c>
      <c r="C50" s="11"/>
      <c r="D50" s="7">
        <v>4261.5600000000004</v>
      </c>
      <c r="E50" s="2"/>
      <c r="F50" s="8">
        <f t="shared" si="28"/>
        <v>8.8190117792318404E-3</v>
      </c>
      <c r="G50" s="2"/>
      <c r="H50" s="7">
        <v>2222.02</v>
      </c>
      <c r="I50" s="2"/>
      <c r="J50" s="8">
        <f t="shared" si="29"/>
        <v>4.4593731084962535E-2</v>
      </c>
      <c r="K50" s="2"/>
      <c r="L50" s="7">
        <f t="shared" si="30"/>
        <v>2039.5400000000004</v>
      </c>
      <c r="M50" s="2"/>
      <c r="N50" s="8">
        <f t="shared" si="31"/>
        <v>0.91787652676393572</v>
      </c>
      <c r="O50" s="11"/>
      <c r="P50" s="7">
        <v>4261.5600000000004</v>
      </c>
      <c r="Q50" s="2"/>
      <c r="R50" s="8">
        <f t="shared" si="32"/>
        <v>8.4185355229738339E-3</v>
      </c>
      <c r="S50" s="2"/>
      <c r="T50" s="7">
        <v>2222.02</v>
      </c>
      <c r="U50" s="2"/>
      <c r="V50" s="8">
        <f t="shared" si="33"/>
        <v>3.2130545433512639E-2</v>
      </c>
      <c r="W50" s="2"/>
      <c r="X50" s="7">
        <f t="shared" si="34"/>
        <v>2039.5400000000004</v>
      </c>
      <c r="Y50" s="2"/>
      <c r="Z50" s="8">
        <f t="shared" si="35"/>
        <v>0.91787652676393572</v>
      </c>
    </row>
    <row r="51" spans="1:26" s="28" customFormat="1" outlineLevel="1" collapsed="1" x14ac:dyDescent="0.3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4032.6</v>
      </c>
      <c r="E51" s="1"/>
      <c r="F51" s="5">
        <f t="shared" si="28"/>
        <v>8.3451944595242852E-3</v>
      </c>
      <c r="G51" s="1"/>
      <c r="H51" s="1">
        <f>SUM(OSRRefH22_7x_0)</f>
        <v>675.21</v>
      </c>
      <c r="I51" s="1"/>
      <c r="J51" s="5">
        <f t="shared" si="29"/>
        <v>1.3550793046812159E-2</v>
      </c>
      <c r="K51" s="1"/>
      <c r="L51" s="1">
        <f t="shared" si="30"/>
        <v>3357.39</v>
      </c>
      <c r="M51" s="1"/>
      <c r="N51" s="5">
        <f t="shared" si="31"/>
        <v>4.9723641533745049</v>
      </c>
      <c r="O51" s="14"/>
      <c r="P51" s="1">
        <f>SUM(OSRRefP22_7x_0)</f>
        <v>4890.13</v>
      </c>
      <c r="Q51" s="1"/>
      <c r="R51" s="5">
        <f t="shared" si="32"/>
        <v>9.6602495604802066E-3</v>
      </c>
      <c r="S51" s="1"/>
      <c r="T51" s="1">
        <f>SUM(OSRRefT22_7x_0)</f>
        <v>1056.76</v>
      </c>
      <c r="U51" s="1"/>
      <c r="V51" s="5">
        <f t="shared" si="33"/>
        <v>1.5280814390653017E-2</v>
      </c>
      <c r="W51" s="1"/>
      <c r="X51" s="1">
        <f t="shared" si="34"/>
        <v>3833.37</v>
      </c>
      <c r="Y51" s="1"/>
      <c r="Z51" s="5">
        <f t="shared" si="35"/>
        <v>3.6274745448351564</v>
      </c>
    </row>
    <row r="52" spans="1:26" s="24" customFormat="1" hidden="1" outlineLevel="2" x14ac:dyDescent="0.3">
      <c r="A52" s="27"/>
      <c r="B52" s="11" t="str">
        <f>CONCATENATE("          ", "6351", " - ", "EQUIPMENT RENTAL")</f>
        <v xml:space="preserve">          6351 - EQUIPMENT RENTAL</v>
      </c>
      <c r="C52" s="11"/>
      <c r="D52" s="7">
        <v>4032.6</v>
      </c>
      <c r="E52" s="2"/>
      <c r="F52" s="8">
        <f t="shared" si="28"/>
        <v>8.3451944595242852E-3</v>
      </c>
      <c r="G52" s="2"/>
      <c r="H52" s="7">
        <v>675.21</v>
      </c>
      <c r="I52" s="2"/>
      <c r="J52" s="8">
        <f t="shared" si="29"/>
        <v>1.3550793046812159E-2</v>
      </c>
      <c r="K52" s="2"/>
      <c r="L52" s="7">
        <f t="shared" si="30"/>
        <v>3357.39</v>
      </c>
      <c r="M52" s="2"/>
      <c r="N52" s="8">
        <f t="shared" si="31"/>
        <v>4.9723641533745049</v>
      </c>
      <c r="O52" s="11"/>
      <c r="P52" s="7">
        <v>4890.13</v>
      </c>
      <c r="Q52" s="2"/>
      <c r="R52" s="8">
        <f t="shared" si="32"/>
        <v>9.6602495604802066E-3</v>
      </c>
      <c r="S52" s="2"/>
      <c r="T52" s="7">
        <v>1056.76</v>
      </c>
      <c r="U52" s="2"/>
      <c r="V52" s="8">
        <f t="shared" si="33"/>
        <v>1.5280814390653017E-2</v>
      </c>
      <c r="W52" s="2"/>
      <c r="X52" s="7">
        <f t="shared" si="34"/>
        <v>3833.37</v>
      </c>
      <c r="Y52" s="2"/>
      <c r="Z52" s="8">
        <f t="shared" si="35"/>
        <v>3.6274745448351564</v>
      </c>
    </row>
    <row r="53" spans="1:26" s="28" customFormat="1" outlineLevel="1" collapsed="1" x14ac:dyDescent="0.3">
      <c r="A53" s="29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5273.65</v>
      </c>
      <c r="E53" s="1"/>
      <c r="F53" s="5">
        <f t="shared" si="28"/>
        <v>1.0913463959100889E-2</v>
      </c>
      <c r="G53" s="1"/>
      <c r="H53" s="1">
        <f>SUM(OSRRefH22_8x_0)</f>
        <v>80.650000000000006</v>
      </c>
      <c r="I53" s="1"/>
      <c r="J53" s="5">
        <f t="shared" si="29"/>
        <v>1.6185652748410134E-3</v>
      </c>
      <c r="K53" s="1"/>
      <c r="L53" s="1">
        <f t="shared" si="30"/>
        <v>5193</v>
      </c>
      <c r="M53" s="1"/>
      <c r="N53" s="5">
        <f t="shared" si="31"/>
        <v>64.389336639801613</v>
      </c>
      <c r="O53" s="14"/>
      <c r="P53" s="1">
        <f>SUM(OSRRefP22_8x_0)</f>
        <v>5602.1</v>
      </c>
      <c r="Q53" s="1"/>
      <c r="R53" s="5">
        <f t="shared" si="32"/>
        <v>1.1066716848584018E-2</v>
      </c>
      <c r="S53" s="1"/>
      <c r="T53" s="1">
        <f>SUM(OSRRefT22_8x_0)</f>
        <v>6379.3</v>
      </c>
      <c r="U53" s="1"/>
      <c r="V53" s="5">
        <f t="shared" si="33"/>
        <v>9.2245069119093068E-2</v>
      </c>
      <c r="W53" s="1"/>
      <c r="X53" s="1">
        <f t="shared" si="34"/>
        <v>-777.19999999999982</v>
      </c>
      <c r="Y53" s="1"/>
      <c r="Z53" s="5">
        <f t="shared" si="35"/>
        <v>-0.12183154891602524</v>
      </c>
    </row>
    <row r="54" spans="1:26" s="24" customFormat="1" hidden="1" outlineLevel="2" x14ac:dyDescent="0.3">
      <c r="A54" s="27"/>
      <c r="B54" s="11" t="str">
        <f>CONCATENATE("          ", "6279", " - ", "GENERAL EXPENSE")</f>
        <v xml:space="preserve">          6279 - GENERAL EXPENSE</v>
      </c>
      <c r="C54" s="11"/>
      <c r="D54" s="7">
        <v>5273.65</v>
      </c>
      <c r="E54" s="2"/>
      <c r="F54" s="8">
        <f t="shared" si="28"/>
        <v>1.0913463959100889E-2</v>
      </c>
      <c r="G54" s="2"/>
      <c r="H54" s="7">
        <v>80.650000000000006</v>
      </c>
      <c r="I54" s="2"/>
      <c r="J54" s="8">
        <f t="shared" si="29"/>
        <v>1.6185652748410134E-3</v>
      </c>
      <c r="K54" s="2"/>
      <c r="L54" s="7">
        <f t="shared" si="30"/>
        <v>5193</v>
      </c>
      <c r="M54" s="2"/>
      <c r="N54" s="8">
        <f t="shared" si="31"/>
        <v>64.389336639801613</v>
      </c>
      <c r="O54" s="11"/>
      <c r="P54" s="7">
        <v>5602.1</v>
      </c>
      <c r="Q54" s="2"/>
      <c r="R54" s="8">
        <f t="shared" si="32"/>
        <v>1.1066716848584018E-2</v>
      </c>
      <c r="S54" s="2"/>
      <c r="T54" s="7">
        <v>6379.3</v>
      </c>
      <c r="U54" s="2"/>
      <c r="V54" s="8">
        <f t="shared" si="33"/>
        <v>9.2245069119093068E-2</v>
      </c>
      <c r="W54" s="2"/>
      <c r="X54" s="7">
        <f t="shared" si="34"/>
        <v>-777.19999999999982</v>
      </c>
      <c r="Y54" s="2"/>
      <c r="Z54" s="8">
        <f t="shared" si="35"/>
        <v>-0.12183154891602524</v>
      </c>
    </row>
    <row r="55" spans="1:26" s="28" customFormat="1" outlineLevel="1" collapsed="1" x14ac:dyDescent="0.3">
      <c r="A55" s="29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5.21</v>
      </c>
      <c r="E55" s="1"/>
      <c r="F55" s="5">
        <f t="shared" si="28"/>
        <v>1.0781744565323E-5</v>
      </c>
      <c r="G55" s="1"/>
      <c r="H55" s="1">
        <f>SUM(OSRRefH22_9x_0)</f>
        <v>5.9</v>
      </c>
      <c r="I55" s="1"/>
      <c r="J55" s="5">
        <f t="shared" si="29"/>
        <v>1.1840713107950377E-4</v>
      </c>
      <c r="K55" s="1"/>
      <c r="L55" s="1">
        <f t="shared" si="30"/>
        <v>-0.69000000000000039</v>
      </c>
      <c r="M55" s="1"/>
      <c r="N55" s="5">
        <f t="shared" si="31"/>
        <v>-0.11694915254237294</v>
      </c>
      <c r="O55" s="14"/>
      <c r="P55" s="1">
        <f>SUM(OSRRefP22_9x_0)</f>
        <v>10.43</v>
      </c>
      <c r="Q55" s="1"/>
      <c r="R55" s="5">
        <f t="shared" si="32"/>
        <v>2.0604033617881026E-5</v>
      </c>
      <c r="S55" s="1"/>
      <c r="T55" s="1">
        <f>SUM(OSRRefT22_9x_0)</f>
        <v>11.8</v>
      </c>
      <c r="U55" s="1"/>
      <c r="V55" s="5">
        <f t="shared" si="33"/>
        <v>1.706287234657875E-4</v>
      </c>
      <c r="W55" s="1"/>
      <c r="X55" s="1">
        <f t="shared" si="34"/>
        <v>-1.370000000000001</v>
      </c>
      <c r="Y55" s="1"/>
      <c r="Z55" s="5">
        <f t="shared" si="35"/>
        <v>-0.11610169491525431</v>
      </c>
    </row>
    <row r="56" spans="1:26" s="24" customFormat="1" hidden="1" outlineLevel="2" x14ac:dyDescent="0.3">
      <c r="A56" s="27"/>
      <c r="B56" s="11" t="str">
        <f>CONCATENATE("          ", "6314", " - ", "LIABILITY INSURANCE")</f>
        <v xml:space="preserve">          6314 - LIABILITY INSURANCE</v>
      </c>
      <c r="C56" s="11"/>
      <c r="D56" s="7">
        <v>5.21</v>
      </c>
      <c r="E56" s="2"/>
      <c r="F56" s="8">
        <f t="shared" si="28"/>
        <v>1.0781744565323E-5</v>
      </c>
      <c r="G56" s="2"/>
      <c r="H56" s="7">
        <v>5.9</v>
      </c>
      <c r="I56" s="2"/>
      <c r="J56" s="8">
        <f t="shared" si="29"/>
        <v>1.1840713107950377E-4</v>
      </c>
      <c r="K56" s="2"/>
      <c r="L56" s="7">
        <f t="shared" si="30"/>
        <v>-0.69000000000000039</v>
      </c>
      <c r="M56" s="2"/>
      <c r="N56" s="8">
        <f t="shared" si="31"/>
        <v>-0.11694915254237294</v>
      </c>
      <c r="O56" s="11"/>
      <c r="P56" s="7">
        <v>10.43</v>
      </c>
      <c r="Q56" s="2"/>
      <c r="R56" s="8">
        <f t="shared" si="32"/>
        <v>2.0604033617881026E-5</v>
      </c>
      <c r="S56" s="2"/>
      <c r="T56" s="7">
        <v>11.8</v>
      </c>
      <c r="U56" s="2"/>
      <c r="V56" s="8">
        <f t="shared" si="33"/>
        <v>1.706287234657875E-4</v>
      </c>
      <c r="W56" s="2"/>
      <c r="X56" s="7">
        <f t="shared" si="34"/>
        <v>-1.370000000000001</v>
      </c>
      <c r="Y56" s="2"/>
      <c r="Z56" s="8">
        <f t="shared" si="35"/>
        <v>-0.11610169491525431</v>
      </c>
    </row>
    <row r="57" spans="1:26" s="28" customFormat="1" outlineLevel="1" collapsed="1" x14ac:dyDescent="0.3">
      <c r="A57" s="29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38588</v>
      </c>
      <c r="E57" s="1"/>
      <c r="F57" s="5">
        <f t="shared" si="28"/>
        <v>7.9855270496484429E-2</v>
      </c>
      <c r="G57" s="1"/>
      <c r="H57" s="1">
        <f>SUM(OSRRefH22_10x_0)</f>
        <v>3533.81</v>
      </c>
      <c r="I57" s="1"/>
      <c r="J57" s="5">
        <f t="shared" si="29"/>
        <v>7.0920051505095116E-2</v>
      </c>
      <c r="K57" s="1"/>
      <c r="L57" s="1">
        <f t="shared" si="30"/>
        <v>35054.19</v>
      </c>
      <c r="M57" s="1"/>
      <c r="N57" s="5">
        <f t="shared" si="31"/>
        <v>9.919658951669728</v>
      </c>
      <c r="O57" s="14"/>
      <c r="P57" s="1">
        <f>SUM(OSRRefP22_10x_0)</f>
        <v>40156</v>
      </c>
      <c r="Q57" s="1"/>
      <c r="R57" s="5">
        <f t="shared" si="32"/>
        <v>7.932651715816208E-2</v>
      </c>
      <c r="S57" s="1"/>
      <c r="T57" s="1">
        <f>SUM(OSRRefT22_10x_0)</f>
        <v>4685.49</v>
      </c>
      <c r="U57" s="1"/>
      <c r="V57" s="5">
        <f t="shared" si="33"/>
        <v>6.7752472670484121E-2</v>
      </c>
      <c r="W57" s="1"/>
      <c r="X57" s="1">
        <f t="shared" si="34"/>
        <v>35470.51</v>
      </c>
      <c r="Y57" s="1"/>
      <c r="Z57" s="5">
        <f t="shared" si="35"/>
        <v>7.5702882729447731</v>
      </c>
    </row>
    <row r="58" spans="1:26" s="24" customFormat="1" hidden="1" outlineLevel="2" x14ac:dyDescent="0.3">
      <c r="A58" s="27"/>
      <c r="B58" s="11" t="str">
        <f>CONCATENATE("          ", "6387", " - ", "COMMISSION DUE HOUSING")</f>
        <v xml:space="preserve">          6387 - COMMISSION DUE HOUSING</v>
      </c>
      <c r="C58" s="11"/>
      <c r="D58" s="7">
        <v>38588</v>
      </c>
      <c r="E58" s="2"/>
      <c r="F58" s="8">
        <f t="shared" si="28"/>
        <v>7.9855270496484429E-2</v>
      </c>
      <c r="G58" s="2"/>
      <c r="H58" s="7">
        <v>3533.81</v>
      </c>
      <c r="I58" s="2"/>
      <c r="J58" s="8">
        <f t="shared" si="29"/>
        <v>7.0920051505095116E-2</v>
      </c>
      <c r="K58" s="2"/>
      <c r="L58" s="7">
        <f t="shared" si="30"/>
        <v>35054.19</v>
      </c>
      <c r="M58" s="2"/>
      <c r="N58" s="8">
        <f t="shared" si="31"/>
        <v>9.919658951669728</v>
      </c>
      <c r="O58" s="11"/>
      <c r="P58" s="7">
        <v>40156</v>
      </c>
      <c r="Q58" s="2"/>
      <c r="R58" s="8">
        <f t="shared" si="32"/>
        <v>7.932651715816208E-2</v>
      </c>
      <c r="S58" s="2"/>
      <c r="T58" s="7">
        <v>4685.49</v>
      </c>
      <c r="U58" s="2"/>
      <c r="V58" s="8">
        <f t="shared" si="33"/>
        <v>6.7752472670484121E-2</v>
      </c>
      <c r="W58" s="2"/>
      <c r="X58" s="7">
        <f t="shared" si="34"/>
        <v>35470.51</v>
      </c>
      <c r="Y58" s="2"/>
      <c r="Z58" s="8">
        <f t="shared" si="35"/>
        <v>7.5702882729447731</v>
      </c>
    </row>
    <row r="59" spans="1:26" s="28" customFormat="1" outlineLevel="1" collapsed="1" x14ac:dyDescent="0.3">
      <c r="A59" s="29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3542.3</v>
      </c>
      <c r="E59" s="1"/>
      <c r="F59" s="5">
        <f t="shared" si="28"/>
        <v>7.3305515880506067E-3</v>
      </c>
      <c r="G59" s="1"/>
      <c r="H59" s="1">
        <f>SUM(OSRRefH22_11x_0)</f>
        <v>2473.65</v>
      </c>
      <c r="I59" s="1"/>
      <c r="J59" s="5">
        <f t="shared" si="29"/>
        <v>4.9643694880477034E-2</v>
      </c>
      <c r="K59" s="1"/>
      <c r="L59" s="1">
        <f t="shared" si="30"/>
        <v>1068.6500000000001</v>
      </c>
      <c r="M59" s="1"/>
      <c r="N59" s="5">
        <f t="shared" si="31"/>
        <v>0.43201342146221172</v>
      </c>
      <c r="O59" s="14"/>
      <c r="P59" s="1">
        <f>SUM(OSRRefP22_11x_0)</f>
        <v>7671.3</v>
      </c>
      <c r="Q59" s="1"/>
      <c r="R59" s="5">
        <f t="shared" si="32"/>
        <v>1.5154335867003906E-2</v>
      </c>
      <c r="S59" s="1"/>
      <c r="T59" s="1">
        <f>SUM(OSRRefT22_11x_0)</f>
        <v>2475.3000000000002</v>
      </c>
      <c r="U59" s="1"/>
      <c r="V59" s="5">
        <f t="shared" si="33"/>
        <v>3.5792989762276593E-2</v>
      </c>
      <c r="W59" s="1"/>
      <c r="X59" s="1">
        <f t="shared" si="34"/>
        <v>5196</v>
      </c>
      <c r="Y59" s="1"/>
      <c r="Z59" s="5">
        <f t="shared" si="35"/>
        <v>2.099139498242637</v>
      </c>
    </row>
    <row r="60" spans="1:26" s="24" customFormat="1" hidden="1" outlineLevel="2" x14ac:dyDescent="0.3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7">
        <v>3500</v>
      </c>
      <c r="E60" s="2"/>
      <c r="F60" s="8">
        <f t="shared" si="28"/>
        <v>7.2430145832304222E-3</v>
      </c>
      <c r="G60" s="2"/>
      <c r="H60" s="7"/>
      <c r="I60" s="2"/>
      <c r="J60" s="8">
        <f t="shared" si="29"/>
        <v>0</v>
      </c>
      <c r="K60" s="2"/>
      <c r="L60" s="7">
        <f t="shared" si="30"/>
        <v>3500</v>
      </c>
      <c r="M60" s="2"/>
      <c r="N60" s="8">
        <f t="shared" si="31"/>
        <v>0</v>
      </c>
      <c r="O60" s="11"/>
      <c r="P60" s="7">
        <v>7000</v>
      </c>
      <c r="Q60" s="2"/>
      <c r="R60" s="8">
        <f t="shared" si="32"/>
        <v>1.3828210481799347E-2</v>
      </c>
      <c r="S60" s="2"/>
      <c r="T60" s="7"/>
      <c r="U60" s="2"/>
      <c r="V60" s="8">
        <f t="shared" si="33"/>
        <v>0</v>
      </c>
      <c r="W60" s="2"/>
      <c r="X60" s="7">
        <f t="shared" si="34"/>
        <v>7000</v>
      </c>
      <c r="Y60" s="2"/>
      <c r="Z60" s="8">
        <f t="shared" si="35"/>
        <v>0</v>
      </c>
    </row>
    <row r="61" spans="1:26" s="24" customFormat="1" hidden="1" outlineLevel="2" x14ac:dyDescent="0.3">
      <c r="A61" s="27"/>
      <c r="B61" s="11" t="str">
        <f>CONCATENATE("          ", "6373", " - ", "MAINTENANCE CONTRACTS")</f>
        <v xml:space="preserve">          6373 - MAINTENANCE CONTRACTS</v>
      </c>
      <c r="C61" s="11"/>
      <c r="D61" s="7"/>
      <c r="E61" s="2"/>
      <c r="F61" s="8">
        <f t="shared" si="28"/>
        <v>0</v>
      </c>
      <c r="G61" s="2"/>
      <c r="H61" s="7">
        <v>2473.65</v>
      </c>
      <c r="I61" s="2"/>
      <c r="J61" s="8">
        <f t="shared" si="29"/>
        <v>4.9643694880477034E-2</v>
      </c>
      <c r="K61" s="2"/>
      <c r="L61" s="7">
        <f t="shared" si="30"/>
        <v>-2473.65</v>
      </c>
      <c r="M61" s="2"/>
      <c r="N61" s="8">
        <f t="shared" si="31"/>
        <v>-1</v>
      </c>
      <c r="O61" s="11"/>
      <c r="P61" s="7">
        <v>14</v>
      </c>
      <c r="Q61" s="2"/>
      <c r="R61" s="8">
        <f t="shared" si="32"/>
        <v>2.7656420963598694E-5</v>
      </c>
      <c r="S61" s="2"/>
      <c r="T61" s="7">
        <v>2475.3000000000002</v>
      </c>
      <c r="U61" s="2"/>
      <c r="V61" s="8">
        <f t="shared" si="33"/>
        <v>3.5792989762276593E-2</v>
      </c>
      <c r="W61" s="2"/>
      <c r="X61" s="7">
        <f t="shared" si="34"/>
        <v>-2461.3000000000002</v>
      </c>
      <c r="Y61" s="2"/>
      <c r="Z61" s="8">
        <f t="shared" si="35"/>
        <v>-0.99434411990465799</v>
      </c>
    </row>
    <row r="62" spans="1:26" s="24" customFormat="1" hidden="1" outlineLevel="2" x14ac:dyDescent="0.3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7">
        <v>42.3</v>
      </c>
      <c r="E62" s="2"/>
      <c r="F62" s="8">
        <f t="shared" si="28"/>
        <v>8.7537004820184805E-5</v>
      </c>
      <c r="G62" s="2"/>
      <c r="H62" s="7"/>
      <c r="I62" s="2"/>
      <c r="J62" s="8">
        <f t="shared" si="29"/>
        <v>0</v>
      </c>
      <c r="K62" s="2"/>
      <c r="L62" s="7">
        <f t="shared" si="30"/>
        <v>42.3</v>
      </c>
      <c r="M62" s="2"/>
      <c r="N62" s="8">
        <f t="shared" si="31"/>
        <v>0</v>
      </c>
      <c r="O62" s="11"/>
      <c r="P62" s="7">
        <v>657.3</v>
      </c>
      <c r="Q62" s="2"/>
      <c r="R62" s="8">
        <f t="shared" si="32"/>
        <v>1.2984689642409587E-3</v>
      </c>
      <c r="S62" s="2"/>
      <c r="T62" s="7"/>
      <c r="U62" s="2"/>
      <c r="V62" s="8">
        <f t="shared" si="33"/>
        <v>0</v>
      </c>
      <c r="W62" s="2"/>
      <c r="X62" s="7">
        <f t="shared" si="34"/>
        <v>657.3</v>
      </c>
      <c r="Y62" s="2"/>
      <c r="Z62" s="8">
        <f t="shared" si="35"/>
        <v>0</v>
      </c>
    </row>
    <row r="63" spans="1:26" s="28" customFormat="1" outlineLevel="1" collapsed="1" x14ac:dyDescent="0.3">
      <c r="A63" s="29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SUM(OSRRefD22_12x_0)</f>
        <v>13804.32</v>
      </c>
      <c r="E63" s="1"/>
      <c r="F63" s="5">
        <f t="shared" ref="F63:F66" si="36">IF(D$12=0,0,D63/D$12)</f>
        <v>2.8567111734736965E-2</v>
      </c>
      <c r="G63" s="1"/>
      <c r="H63" s="1">
        <f>SUM(OSRRefH22_12x_0)</f>
        <v>7432.2300000000005</v>
      </c>
      <c r="I63" s="1"/>
      <c r="J63" s="5">
        <f t="shared" ref="J63:J66" si="37">IF(H$12=0,0,H63/H$12)</f>
        <v>0.14915746302085089</v>
      </c>
      <c r="K63" s="1"/>
      <c r="L63" s="1">
        <f t="shared" ref="L63:L66" si="38">+D63-H63</f>
        <v>6372.0899999999992</v>
      </c>
      <c r="M63" s="1"/>
      <c r="N63" s="5">
        <f t="shared" ref="N63:N66" si="39">IF(H63=0,0,L63/H63)</f>
        <v>0.85735909679867262</v>
      </c>
      <c r="O63" s="14"/>
      <c r="P63" s="1">
        <f>SUM(OSRRefP22_12x_0)</f>
        <v>26883.239999999998</v>
      </c>
      <c r="Q63" s="1"/>
      <c r="R63" s="5">
        <f t="shared" ref="R63:R66" si="40">IF(P$12=0,0,P63/P$12)</f>
        <v>5.310672873610392E-2</v>
      </c>
      <c r="S63" s="1"/>
      <c r="T63" s="1">
        <f>SUM(OSRRefT22_12x_0)</f>
        <v>18584.900000000001</v>
      </c>
      <c r="U63" s="1"/>
      <c r="V63" s="5">
        <f t="shared" ref="V63:V66" si="41">IF(T$12=0,0,T63/T$12)</f>
        <v>0.26873879345248425</v>
      </c>
      <c r="W63" s="1"/>
      <c r="X63" s="1">
        <f t="shared" ref="X63:X66" si="42">+P63-T63</f>
        <v>8298.3399999999965</v>
      </c>
      <c r="Y63" s="1"/>
      <c r="Z63" s="5">
        <f t="shared" ref="Z63:Z66" si="43">IF(T63=0,0,X63/T63)</f>
        <v>0.44650980096745185</v>
      </c>
    </row>
    <row r="64" spans="1:26" s="24" customFormat="1" hidden="1" outlineLevel="2" x14ac:dyDescent="0.3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7">
        <v>421.34</v>
      </c>
      <c r="E64" s="2"/>
      <c r="F64" s="8">
        <f t="shared" si="36"/>
        <v>8.719347898566588E-4</v>
      </c>
      <c r="G64" s="2"/>
      <c r="H64" s="7">
        <v>910.43</v>
      </c>
      <c r="I64" s="2"/>
      <c r="J64" s="8">
        <f t="shared" si="37"/>
        <v>1.8271424465883493E-2</v>
      </c>
      <c r="K64" s="2"/>
      <c r="L64" s="7">
        <f t="shared" si="38"/>
        <v>-489.09</v>
      </c>
      <c r="M64" s="2"/>
      <c r="N64" s="8">
        <f t="shared" si="39"/>
        <v>-0.53720769306811067</v>
      </c>
      <c r="O64" s="11"/>
      <c r="P64" s="7">
        <v>1929.84</v>
      </c>
      <c r="Q64" s="2"/>
      <c r="R64" s="8">
        <f t="shared" si="40"/>
        <v>3.8123191023136643E-3</v>
      </c>
      <c r="S64" s="2"/>
      <c r="T64" s="7">
        <v>2132.11</v>
      </c>
      <c r="U64" s="2"/>
      <c r="V64" s="8">
        <f t="shared" si="41"/>
        <v>3.0830441321071204E-2</v>
      </c>
      <c r="W64" s="2"/>
      <c r="X64" s="7">
        <f t="shared" si="42"/>
        <v>-202.27000000000021</v>
      </c>
      <c r="Y64" s="2"/>
      <c r="Z64" s="8">
        <f t="shared" si="43"/>
        <v>-9.4868463634615569E-2</v>
      </c>
    </row>
    <row r="65" spans="1:26" s="24" customFormat="1" hidden="1" outlineLevel="2" x14ac:dyDescent="0.3">
      <c r="A65" s="27"/>
      <c r="B65" s="11" t="str">
        <f>CONCATENATE("          ", "6285", " - ", "JANITORIAL SERVICES")</f>
        <v xml:space="preserve">          6285 - JANITORIAL SERVICES</v>
      </c>
      <c r="C65" s="11"/>
      <c r="D65" s="7">
        <v>11040.09</v>
      </c>
      <c r="E65" s="2"/>
      <c r="F65" s="8">
        <f t="shared" si="36"/>
        <v>2.2846723677193242E-2</v>
      </c>
      <c r="G65" s="2"/>
      <c r="H65" s="7">
        <v>4157.05</v>
      </c>
      <c r="I65" s="2"/>
      <c r="J65" s="8">
        <f t="shared" si="37"/>
        <v>8.3427858348144257E-2</v>
      </c>
      <c r="K65" s="2"/>
      <c r="L65" s="7">
        <f t="shared" si="38"/>
        <v>6883.04</v>
      </c>
      <c r="M65" s="2"/>
      <c r="N65" s="8">
        <f t="shared" si="39"/>
        <v>1.6557510734775862</v>
      </c>
      <c r="O65" s="11"/>
      <c r="P65" s="7">
        <v>21687.279999999999</v>
      </c>
      <c r="Q65" s="2"/>
      <c r="R65" s="8">
        <f t="shared" si="40"/>
        <v>4.2842324659673907E-2</v>
      </c>
      <c r="S65" s="2"/>
      <c r="T65" s="7">
        <v>12471.15</v>
      </c>
      <c r="U65" s="2"/>
      <c r="V65" s="8">
        <f t="shared" si="41"/>
        <v>0.18033359361443693</v>
      </c>
      <c r="W65" s="2"/>
      <c r="X65" s="7">
        <f t="shared" si="42"/>
        <v>9216.1299999999992</v>
      </c>
      <c r="Y65" s="2"/>
      <c r="Z65" s="8">
        <f t="shared" si="43"/>
        <v>0.73899600277440325</v>
      </c>
    </row>
    <row r="66" spans="1:26" s="24" customFormat="1" hidden="1" outlineLevel="2" x14ac:dyDescent="0.3">
      <c r="A66" s="27"/>
      <c r="B66" s="11" t="str">
        <f>CONCATENATE("          ", "6286", " - ", "LAUNDRY EXPENSE")</f>
        <v xml:space="preserve">          6286 - LAUNDRY EXPENSE</v>
      </c>
      <c r="C66" s="11"/>
      <c r="D66" s="7">
        <v>2342.89</v>
      </c>
      <c r="E66" s="2"/>
      <c r="F66" s="8">
        <f t="shared" si="36"/>
        <v>4.8484532676870635E-3</v>
      </c>
      <c r="G66" s="2"/>
      <c r="H66" s="7">
        <v>2364.75</v>
      </c>
      <c r="I66" s="2"/>
      <c r="J66" s="8">
        <f t="shared" si="37"/>
        <v>4.7458180206823138E-2</v>
      </c>
      <c r="K66" s="2"/>
      <c r="L66" s="7">
        <f t="shared" si="38"/>
        <v>-21.860000000000127</v>
      </c>
      <c r="M66" s="2"/>
      <c r="N66" s="8">
        <f t="shared" si="39"/>
        <v>-9.2441061422983938E-3</v>
      </c>
      <c r="O66" s="11"/>
      <c r="P66" s="7">
        <v>3266.12</v>
      </c>
      <c r="Q66" s="2"/>
      <c r="R66" s="8">
        <f t="shared" si="40"/>
        <v>6.4520849741163547E-3</v>
      </c>
      <c r="S66" s="2"/>
      <c r="T66" s="7">
        <v>3981.64</v>
      </c>
      <c r="U66" s="2"/>
      <c r="V66" s="8">
        <f t="shared" si="41"/>
        <v>5.7574758516976111E-2</v>
      </c>
      <c r="W66" s="2"/>
      <c r="X66" s="7">
        <f t="shared" si="42"/>
        <v>-715.52</v>
      </c>
      <c r="Y66" s="2"/>
      <c r="Z66" s="8">
        <f t="shared" si="43"/>
        <v>-0.17970484523965</v>
      </c>
    </row>
    <row r="67" spans="1:26" s="28" customFormat="1" outlineLevel="1" collapsed="1" x14ac:dyDescent="0.3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SUM(OSRRefD22_13x_0)</f>
        <v>22909.620000000003</v>
      </c>
      <c r="E67" s="1"/>
      <c r="F67" s="5">
        <f t="shared" ref="F67:F73" si="44">IF(D$12=0,0,D67/D$12)</f>
        <v>4.7409917644647817E-2</v>
      </c>
      <c r="G67" s="1"/>
      <c r="H67" s="1">
        <f>SUM(OSRRefH22_13x_0)</f>
        <v>19137.71</v>
      </c>
      <c r="I67" s="1"/>
      <c r="J67" s="5">
        <f t="shared" ref="J67:J73" si="45">IF(H$12=0,0,H67/H$12)</f>
        <v>0.38407480280195422</v>
      </c>
      <c r="K67" s="1"/>
      <c r="L67" s="1">
        <f t="shared" ref="L67:L73" si="46">+D67-H67</f>
        <v>3771.9100000000035</v>
      </c>
      <c r="M67" s="1"/>
      <c r="N67" s="5">
        <f t="shared" ref="N67:N73" si="47">IF(H67=0,0,L67/H67)</f>
        <v>0.19709306912896077</v>
      </c>
      <c r="O67" s="14"/>
      <c r="P67" s="1">
        <f>SUM(OSRRefP22_13x_0)</f>
        <v>28120.3</v>
      </c>
      <c r="Q67" s="1"/>
      <c r="R67" s="5">
        <f t="shared" ref="R67:R73" si="48">IF(P$12=0,0,P67/P$12)</f>
        <v>5.5550489601620311E-2</v>
      </c>
      <c r="S67" s="1"/>
      <c r="T67" s="1">
        <f>SUM(OSRRefT22_13x_0)</f>
        <v>26006.23</v>
      </c>
      <c r="U67" s="1"/>
      <c r="V67" s="5">
        <f t="shared" ref="V67:V73" si="49">IF(T$12=0,0,T67/T$12)</f>
        <v>0.37605168025912428</v>
      </c>
      <c r="W67" s="1"/>
      <c r="X67" s="1">
        <f t="shared" ref="X67:X73" si="50">+P67-T67</f>
        <v>2114.0699999999997</v>
      </c>
      <c r="Y67" s="1"/>
      <c r="Z67" s="5">
        <f t="shared" ref="Z67:Z73" si="51">IF(T67=0,0,X67/T67)</f>
        <v>8.1290906063662433E-2</v>
      </c>
    </row>
    <row r="68" spans="1:26" s="24" customFormat="1" hidden="1" outlineLevel="2" x14ac:dyDescent="0.3">
      <c r="A68" s="27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8">
        <f t="shared" si="44"/>
        <v>0</v>
      </c>
      <c r="G68" s="2"/>
      <c r="H68" s="7">
        <v>8707.61</v>
      </c>
      <c r="I68" s="2"/>
      <c r="J68" s="8">
        <f t="shared" si="45"/>
        <v>0.17475307095918607</v>
      </c>
      <c r="K68" s="2"/>
      <c r="L68" s="7">
        <f t="shared" si="46"/>
        <v>-8707.61</v>
      </c>
      <c r="M68" s="2"/>
      <c r="N68" s="8">
        <f t="shared" si="47"/>
        <v>-1</v>
      </c>
      <c r="O68" s="11"/>
      <c r="P68" s="7"/>
      <c r="Q68" s="2"/>
      <c r="R68" s="8">
        <f t="shared" si="48"/>
        <v>0</v>
      </c>
      <c r="S68" s="2"/>
      <c r="T68" s="7">
        <v>13673.73</v>
      </c>
      <c r="U68" s="2"/>
      <c r="V68" s="8">
        <f t="shared" si="49"/>
        <v>0.19772297414541037</v>
      </c>
      <c r="W68" s="2"/>
      <c r="X68" s="7">
        <f t="shared" si="50"/>
        <v>-13673.73</v>
      </c>
      <c r="Y68" s="2"/>
      <c r="Z68" s="8">
        <f t="shared" si="51"/>
        <v>-1</v>
      </c>
    </row>
    <row r="69" spans="1:26" s="24" customFormat="1" hidden="1" outlineLevel="2" x14ac:dyDescent="0.3">
      <c r="A69" s="27"/>
      <c r="B69" s="11" t="str">
        <f>CONCATENATE("          ", "6237", " - ", "JANITORIAL SUPPLIES")</f>
        <v xml:space="preserve">          6237 - JANITORIAL SUPPLIES</v>
      </c>
      <c r="C69" s="11"/>
      <c r="D69" s="7">
        <v>2430.13</v>
      </c>
      <c r="E69" s="2"/>
      <c r="F69" s="8">
        <f t="shared" si="44"/>
        <v>5.028990579755927E-3</v>
      </c>
      <c r="G69" s="2"/>
      <c r="H69" s="7">
        <v>1416.91</v>
      </c>
      <c r="I69" s="2"/>
      <c r="J69" s="8">
        <f t="shared" si="45"/>
        <v>2.8435974253874521E-2</v>
      </c>
      <c r="K69" s="2"/>
      <c r="L69" s="7">
        <f t="shared" si="46"/>
        <v>1013.22</v>
      </c>
      <c r="M69" s="2"/>
      <c r="N69" s="8">
        <f t="shared" si="47"/>
        <v>0.71509129020191819</v>
      </c>
      <c r="O69" s="11"/>
      <c r="P69" s="7">
        <v>6132.08</v>
      </c>
      <c r="Q69" s="2"/>
      <c r="R69" s="8">
        <f t="shared" si="48"/>
        <v>1.2113670418747448E-2</v>
      </c>
      <c r="S69" s="2"/>
      <c r="T69" s="7">
        <v>2604.9499999999998</v>
      </c>
      <c r="U69" s="2"/>
      <c r="V69" s="8">
        <f t="shared" si="49"/>
        <v>3.7667736711203652E-2</v>
      </c>
      <c r="W69" s="2"/>
      <c r="X69" s="7">
        <f t="shared" si="50"/>
        <v>3527.13</v>
      </c>
      <c r="Y69" s="2"/>
      <c r="Z69" s="8">
        <f t="shared" si="51"/>
        <v>1.3540106336014128</v>
      </c>
    </row>
    <row r="70" spans="1:26" s="24" customFormat="1" hidden="1" outlineLevel="2" x14ac:dyDescent="0.3">
      <c r="A70" s="27"/>
      <c r="B70" s="11" t="str">
        <f>CONCATENATE("          ", "6239", " - ", "KITCHEN SUPPLIES")</f>
        <v xml:space="preserve">          6239 - KITCHEN SUPPLIES</v>
      </c>
      <c r="C70" s="11"/>
      <c r="D70" s="7">
        <v>2851.2</v>
      </c>
      <c r="E70" s="2"/>
      <c r="F70" s="8">
        <f t="shared" si="44"/>
        <v>5.9003666227733075E-3</v>
      </c>
      <c r="G70" s="2"/>
      <c r="H70" s="7">
        <v>2324.31</v>
      </c>
      <c r="I70" s="2"/>
      <c r="J70" s="8">
        <f t="shared" si="45"/>
        <v>4.6646589633796844E-2</v>
      </c>
      <c r="K70" s="2"/>
      <c r="L70" s="7">
        <f t="shared" si="46"/>
        <v>526.88999999999987</v>
      </c>
      <c r="M70" s="2"/>
      <c r="N70" s="8">
        <f t="shared" si="47"/>
        <v>0.22668662958039154</v>
      </c>
      <c r="O70" s="11"/>
      <c r="P70" s="7">
        <v>2851.2</v>
      </c>
      <c r="Q70" s="2"/>
      <c r="R70" s="8">
        <f t="shared" si="48"/>
        <v>5.6324276751008994E-3</v>
      </c>
      <c r="S70" s="2"/>
      <c r="T70" s="7">
        <v>2374.31</v>
      </c>
      <c r="U70" s="2"/>
      <c r="V70" s="8">
        <f t="shared" si="49"/>
        <v>3.4332668170513045E-2</v>
      </c>
      <c r="W70" s="2"/>
      <c r="X70" s="7">
        <f t="shared" si="50"/>
        <v>476.88999999999987</v>
      </c>
      <c r="Y70" s="2"/>
      <c r="Z70" s="8">
        <f t="shared" si="51"/>
        <v>0.20085414288782841</v>
      </c>
    </row>
    <row r="71" spans="1:26" s="24" customFormat="1" hidden="1" outlineLevel="2" x14ac:dyDescent="0.3">
      <c r="A71" s="27"/>
      <c r="B71" s="11" t="str">
        <f>CONCATENATE("          ", "6241", " - ", "OFFICE EXPENSE")</f>
        <v xml:space="preserve">          6241 - OFFICE EXPENSE</v>
      </c>
      <c r="C71" s="11"/>
      <c r="D71" s="7">
        <v>3278.6</v>
      </c>
      <c r="E71" s="2"/>
      <c r="F71" s="8">
        <f t="shared" si="44"/>
        <v>6.7848421750226458E-3</v>
      </c>
      <c r="G71" s="2"/>
      <c r="H71" s="7">
        <v>165.61</v>
      </c>
      <c r="I71" s="2"/>
      <c r="J71" s="8">
        <f t="shared" si="45"/>
        <v>3.3236279623858676E-3</v>
      </c>
      <c r="K71" s="2"/>
      <c r="L71" s="7">
        <f t="shared" si="46"/>
        <v>3112.99</v>
      </c>
      <c r="M71" s="2"/>
      <c r="N71" s="8">
        <f t="shared" si="47"/>
        <v>18.79711370086347</v>
      </c>
      <c r="O71" s="11"/>
      <c r="P71" s="7">
        <v>3724.26</v>
      </c>
      <c r="Q71" s="2"/>
      <c r="R71" s="8">
        <f t="shared" si="48"/>
        <v>7.3571215955637202E-3</v>
      </c>
      <c r="S71" s="2"/>
      <c r="T71" s="7">
        <v>182.09</v>
      </c>
      <c r="U71" s="2"/>
      <c r="V71" s="8">
        <f t="shared" si="49"/>
        <v>2.6330325640580715E-3</v>
      </c>
      <c r="W71" s="2"/>
      <c r="X71" s="7">
        <f t="shared" si="50"/>
        <v>3542.17</v>
      </c>
      <c r="Y71" s="2"/>
      <c r="Z71" s="8">
        <f t="shared" si="51"/>
        <v>19.452852984787743</v>
      </c>
    </row>
    <row r="72" spans="1:26" s="24" customFormat="1" hidden="1" outlineLevel="2" x14ac:dyDescent="0.3">
      <c r="A72" s="27"/>
      <c r="B72" s="11" t="str">
        <f>CONCATENATE("          ", "6243", " - ", "PAPER SUPPLIES")</f>
        <v xml:space="preserve">          6243 - PAPER SUPPLIES</v>
      </c>
      <c r="C72" s="11"/>
      <c r="D72" s="7">
        <v>14349.69</v>
      </c>
      <c r="E72" s="2"/>
      <c r="F72" s="8">
        <f t="shared" si="44"/>
        <v>2.9695718267095932E-2</v>
      </c>
      <c r="G72" s="2"/>
      <c r="H72" s="7">
        <v>3012.29</v>
      </c>
      <c r="I72" s="2"/>
      <c r="J72" s="8">
        <f t="shared" si="45"/>
        <v>6.0453663877877692E-2</v>
      </c>
      <c r="K72" s="2"/>
      <c r="L72" s="7">
        <f t="shared" si="46"/>
        <v>11337.400000000001</v>
      </c>
      <c r="M72" s="2"/>
      <c r="N72" s="8">
        <f t="shared" si="47"/>
        <v>3.7637146489879796</v>
      </c>
      <c r="O72" s="11"/>
      <c r="P72" s="7">
        <v>15412.76</v>
      </c>
      <c r="Q72" s="2"/>
      <c r="R72" s="8">
        <f t="shared" si="48"/>
        <v>3.0447269912208245E-2</v>
      </c>
      <c r="S72" s="2"/>
      <c r="T72" s="7">
        <v>3660.17</v>
      </c>
      <c r="U72" s="2"/>
      <c r="V72" s="8">
        <f t="shared" si="49"/>
        <v>5.2926282607438258E-2</v>
      </c>
      <c r="W72" s="2"/>
      <c r="X72" s="7">
        <f t="shared" si="50"/>
        <v>11752.59</v>
      </c>
      <c r="Y72" s="2"/>
      <c r="Z72" s="8">
        <f t="shared" si="51"/>
        <v>3.2109410218651044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7"/>
      <c r="E73" s="2"/>
      <c r="F73" s="8">
        <f t="shared" si="44"/>
        <v>0</v>
      </c>
      <c r="G73" s="2"/>
      <c r="H73" s="7">
        <v>3510.98</v>
      </c>
      <c r="I73" s="2"/>
      <c r="J73" s="8">
        <f t="shared" si="45"/>
        <v>7.0461876114833247E-2</v>
      </c>
      <c r="K73" s="2"/>
      <c r="L73" s="7">
        <f t="shared" si="46"/>
        <v>-3510.98</v>
      </c>
      <c r="M73" s="2"/>
      <c r="N73" s="8">
        <f t="shared" si="47"/>
        <v>-1</v>
      </c>
      <c r="O73" s="11"/>
      <c r="P73" s="7"/>
      <c r="Q73" s="2"/>
      <c r="R73" s="8">
        <f t="shared" si="48"/>
        <v>0</v>
      </c>
      <c r="S73" s="2"/>
      <c r="T73" s="7">
        <v>3510.98</v>
      </c>
      <c r="U73" s="2"/>
      <c r="V73" s="8">
        <f t="shared" si="49"/>
        <v>5.0768986060500898E-2</v>
      </c>
      <c r="W73" s="2"/>
      <c r="X73" s="7">
        <f t="shared" si="50"/>
        <v>-3510.98</v>
      </c>
      <c r="Y73" s="2"/>
      <c r="Z73" s="8">
        <f t="shared" si="51"/>
        <v>-1</v>
      </c>
    </row>
    <row r="74" spans="1:26" s="28" customFormat="1" outlineLevel="1" collapsed="1" x14ac:dyDescent="0.3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623</v>
      </c>
      <c r="E74" s="1"/>
      <c r="F74" s="5">
        <f t="shared" ref="F74:F79" si="52">IF(D$12=0,0,D74/D$12)</f>
        <v>1.2892565958150151E-3</v>
      </c>
      <c r="G74" s="1"/>
      <c r="H74" s="1">
        <f>SUM(OSRRefH22_14x_0)</f>
        <v>632.5</v>
      </c>
      <c r="I74" s="1"/>
      <c r="J74" s="5">
        <f t="shared" ref="J74:J79" si="53">IF(H$12=0,0,H74/H$12)</f>
        <v>1.2693645831828157E-2</v>
      </c>
      <c r="K74" s="1"/>
      <c r="L74" s="1">
        <f t="shared" ref="L74:L79" si="54">+D74-H74</f>
        <v>-9.5</v>
      </c>
      <c r="M74" s="1"/>
      <c r="N74" s="5">
        <f t="shared" ref="N74:N79" si="55">IF(H74=0,0,L74/H74)</f>
        <v>-1.5019762845849802E-2</v>
      </c>
      <c r="O74" s="14"/>
      <c r="P74" s="1">
        <f>SUM(OSRRefP22_14x_0)</f>
        <v>1122</v>
      </c>
      <c r="Q74" s="1"/>
      <c r="R74" s="5">
        <f t="shared" ref="R74:R79" si="56">IF(P$12=0,0,P74/P$12)</f>
        <v>2.2164645943684095E-3</v>
      </c>
      <c r="S74" s="1"/>
      <c r="T74" s="1">
        <f>SUM(OSRRefT22_14x_0)</f>
        <v>1265</v>
      </c>
      <c r="U74" s="1"/>
      <c r="V74" s="5">
        <f t="shared" ref="V74:V79" si="57">IF(T$12=0,0,T74/T$12)</f>
        <v>1.8291977557984847E-2</v>
      </c>
      <c r="W74" s="1"/>
      <c r="X74" s="1">
        <f t="shared" ref="X74:X79" si="58">+P74-T74</f>
        <v>-143</v>
      </c>
      <c r="Y74" s="1"/>
      <c r="Z74" s="5">
        <f t="shared" ref="Z74:Z79" si="59">IF(T74=0,0,X74/T74)</f>
        <v>-0.11304347826086956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7">
        <v>623</v>
      </c>
      <c r="E75" s="2"/>
      <c r="F75" s="8">
        <f t="shared" si="52"/>
        <v>1.2892565958150151E-3</v>
      </c>
      <c r="G75" s="2"/>
      <c r="H75" s="7">
        <v>632.5</v>
      </c>
      <c r="I75" s="2"/>
      <c r="J75" s="8">
        <f t="shared" si="53"/>
        <v>1.2693645831828157E-2</v>
      </c>
      <c r="K75" s="2"/>
      <c r="L75" s="7">
        <f t="shared" si="54"/>
        <v>-9.5</v>
      </c>
      <c r="M75" s="2"/>
      <c r="N75" s="8">
        <f t="shared" si="55"/>
        <v>-1.5019762845849802E-2</v>
      </c>
      <c r="O75" s="11"/>
      <c r="P75" s="7">
        <v>1122</v>
      </c>
      <c r="Q75" s="2"/>
      <c r="R75" s="8">
        <f t="shared" si="56"/>
        <v>2.2164645943684095E-3</v>
      </c>
      <c r="S75" s="2"/>
      <c r="T75" s="7">
        <v>1265</v>
      </c>
      <c r="U75" s="2"/>
      <c r="V75" s="8">
        <f t="shared" si="57"/>
        <v>1.8291977557984847E-2</v>
      </c>
      <c r="W75" s="2"/>
      <c r="X75" s="7">
        <f t="shared" si="58"/>
        <v>-143</v>
      </c>
      <c r="Y75" s="2"/>
      <c r="Z75" s="8">
        <f t="shared" si="59"/>
        <v>-0.11304347826086956</v>
      </c>
    </row>
    <row r="76" spans="1:26" s="28" customFormat="1" outlineLevel="1" collapsed="1" x14ac:dyDescent="0.3">
      <c r="A76" s="29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SUM(OSRRefD22_15x_0)</f>
        <v>0</v>
      </c>
      <c r="E76" s="1"/>
      <c r="F76" s="5">
        <f t="shared" si="52"/>
        <v>0</v>
      </c>
      <c r="G76" s="1"/>
      <c r="H76" s="1">
        <f>SUM(OSRRefH22_15x_0)</f>
        <v>350</v>
      </c>
      <c r="I76" s="1"/>
      <c r="J76" s="5">
        <f t="shared" si="53"/>
        <v>7.0241518436993753E-3</v>
      </c>
      <c r="K76" s="1"/>
      <c r="L76" s="1">
        <f t="shared" si="54"/>
        <v>-350</v>
      </c>
      <c r="M76" s="1"/>
      <c r="N76" s="5">
        <f t="shared" si="55"/>
        <v>-1</v>
      </c>
      <c r="O76" s="14"/>
      <c r="P76" s="1">
        <f>SUM(OSRRefP22_15x_0)</f>
        <v>0</v>
      </c>
      <c r="Q76" s="1"/>
      <c r="R76" s="5">
        <f t="shared" si="56"/>
        <v>0</v>
      </c>
      <c r="S76" s="1"/>
      <c r="T76" s="1">
        <f>SUM(OSRRefT22_15x_0)</f>
        <v>350</v>
      </c>
      <c r="U76" s="1"/>
      <c r="V76" s="5">
        <f t="shared" si="57"/>
        <v>5.0610214587309852E-3</v>
      </c>
      <c r="W76" s="1"/>
      <c r="X76" s="1">
        <f t="shared" si="58"/>
        <v>-350</v>
      </c>
      <c r="Y76" s="1"/>
      <c r="Z76" s="5">
        <f t="shared" si="59"/>
        <v>-1</v>
      </c>
    </row>
    <row r="77" spans="1:26" s="24" customFormat="1" hidden="1" outlineLevel="2" x14ac:dyDescent="0.3">
      <c r="A77" s="27"/>
      <c r="B77" s="11" t="str">
        <f>CONCATENATE("          ", "6376", " - ", "TRAINING")</f>
        <v xml:space="preserve">          6376 - TRAINING</v>
      </c>
      <c r="C77" s="11"/>
      <c r="D77" s="7"/>
      <c r="E77" s="2"/>
      <c r="F77" s="8">
        <f t="shared" si="52"/>
        <v>0</v>
      </c>
      <c r="G77" s="2"/>
      <c r="H77" s="7">
        <v>350</v>
      </c>
      <c r="I77" s="2"/>
      <c r="J77" s="8">
        <f t="shared" si="53"/>
        <v>7.0241518436993753E-3</v>
      </c>
      <c r="K77" s="2"/>
      <c r="L77" s="7">
        <f t="shared" si="54"/>
        <v>-350</v>
      </c>
      <c r="M77" s="2"/>
      <c r="N77" s="8">
        <f t="shared" si="55"/>
        <v>-1</v>
      </c>
      <c r="O77" s="11"/>
      <c r="P77" s="7"/>
      <c r="Q77" s="2"/>
      <c r="R77" s="8">
        <f t="shared" si="56"/>
        <v>0</v>
      </c>
      <c r="S77" s="2"/>
      <c r="T77" s="7">
        <v>350</v>
      </c>
      <c r="U77" s="2"/>
      <c r="V77" s="8">
        <f t="shared" si="57"/>
        <v>5.0610214587309852E-3</v>
      </c>
      <c r="W77" s="2"/>
      <c r="X77" s="7">
        <f t="shared" si="58"/>
        <v>-350</v>
      </c>
      <c r="Y77" s="2"/>
      <c r="Z77" s="8">
        <f t="shared" si="59"/>
        <v>-1</v>
      </c>
    </row>
    <row r="78" spans="1:26" s="28" customFormat="1" outlineLevel="1" collapsed="1" x14ac:dyDescent="0.3">
      <c r="A78" s="29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595</v>
      </c>
      <c r="E78" s="1"/>
      <c r="F78" s="5">
        <f t="shared" si="52"/>
        <v>1.2313124791491718E-3</v>
      </c>
      <c r="G78" s="1"/>
      <c r="H78" s="1">
        <f>SUM(OSRRefH22_16x_0)</f>
        <v>0</v>
      </c>
      <c r="I78" s="1"/>
      <c r="J78" s="5">
        <f t="shared" si="53"/>
        <v>0</v>
      </c>
      <c r="K78" s="1"/>
      <c r="L78" s="1">
        <f t="shared" si="54"/>
        <v>595</v>
      </c>
      <c r="M78" s="1"/>
      <c r="N78" s="5">
        <f t="shared" si="55"/>
        <v>0</v>
      </c>
      <c r="O78" s="14"/>
      <c r="P78" s="1">
        <f>SUM(OSRRefP22_16x_0)</f>
        <v>595</v>
      </c>
      <c r="Q78" s="1"/>
      <c r="R78" s="5">
        <f t="shared" si="56"/>
        <v>1.1753978909529446E-3</v>
      </c>
      <c r="S78" s="1"/>
      <c r="T78" s="1">
        <f>SUM(OSRRefT22_16x_0)</f>
        <v>0</v>
      </c>
      <c r="U78" s="1"/>
      <c r="V78" s="5">
        <f t="shared" si="57"/>
        <v>0</v>
      </c>
      <c r="W78" s="1"/>
      <c r="X78" s="1">
        <f t="shared" si="58"/>
        <v>595</v>
      </c>
      <c r="Y78" s="1"/>
      <c r="Z78" s="5">
        <f t="shared" si="59"/>
        <v>0</v>
      </c>
    </row>
    <row r="79" spans="1:26" s="24" customFormat="1" hidden="1" outlineLevel="2" x14ac:dyDescent="0.3">
      <c r="A79" s="27"/>
      <c r="B79" s="11" t="str">
        <f>CONCATENATE("          ", "6292", " - ", "TRAVEL/CONFERENCE")</f>
        <v xml:space="preserve">          6292 - TRAVEL/CONFERENCE</v>
      </c>
      <c r="C79" s="11"/>
      <c r="D79" s="7">
        <v>595</v>
      </c>
      <c r="E79" s="2"/>
      <c r="F79" s="8">
        <f t="shared" si="52"/>
        <v>1.2313124791491718E-3</v>
      </c>
      <c r="G79" s="2"/>
      <c r="H79" s="7"/>
      <c r="I79" s="2"/>
      <c r="J79" s="8">
        <f t="shared" si="53"/>
        <v>0</v>
      </c>
      <c r="K79" s="2"/>
      <c r="L79" s="7">
        <f t="shared" si="54"/>
        <v>595</v>
      </c>
      <c r="M79" s="2"/>
      <c r="N79" s="8">
        <f t="shared" si="55"/>
        <v>0</v>
      </c>
      <c r="O79" s="11"/>
      <c r="P79" s="7">
        <v>595</v>
      </c>
      <c r="Q79" s="2"/>
      <c r="R79" s="8">
        <f t="shared" si="56"/>
        <v>1.1753978909529446E-3</v>
      </c>
      <c r="S79" s="2"/>
      <c r="T79" s="7"/>
      <c r="U79" s="2"/>
      <c r="V79" s="8">
        <f t="shared" si="57"/>
        <v>0</v>
      </c>
      <c r="W79" s="2"/>
      <c r="X79" s="7">
        <f t="shared" si="58"/>
        <v>595</v>
      </c>
      <c r="Y79" s="2"/>
      <c r="Z79" s="8">
        <f t="shared" si="59"/>
        <v>0</v>
      </c>
    </row>
    <row r="80" spans="1:26" s="61" customFormat="1" x14ac:dyDescent="0.3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3">
      <c r="A81" s="10"/>
      <c r="B81" s="26" t="s">
        <v>292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3">
      <c r="A82" s="9"/>
      <c r="B82" s="10"/>
      <c r="C82" s="10"/>
      <c r="D82" s="3"/>
      <c r="E82" s="3"/>
      <c r="F82" s="6"/>
      <c r="G82" s="3"/>
      <c r="H82" s="3"/>
      <c r="I82" s="3"/>
      <c r="J82" s="6"/>
      <c r="K82" s="3"/>
      <c r="L82" s="3"/>
      <c r="M82" s="3"/>
      <c r="N82" s="6"/>
      <c r="O82" s="10"/>
      <c r="P82" s="3"/>
      <c r="Q82" s="3"/>
      <c r="R82" s="6"/>
      <c r="S82" s="3"/>
      <c r="T82" s="3"/>
      <c r="U82" s="3"/>
      <c r="V82" s="6"/>
      <c r="W82" s="3"/>
      <c r="X82" s="3"/>
      <c r="Y82" s="3"/>
      <c r="Z82" s="6"/>
    </row>
    <row r="83" spans="1:26" s="23" customFormat="1" x14ac:dyDescent="0.3">
      <c r="A83" s="10"/>
      <c r="B83" s="25" t="s">
        <v>276</v>
      </c>
      <c r="C83" s="25"/>
      <c r="D83" s="20">
        <f>+D21-D23+D81</f>
        <v>-5668.820000000007</v>
      </c>
      <c r="E83" s="13"/>
      <c r="F83" s="22">
        <f>IF(D$12=0,0,D83/D$12)</f>
        <v>-1.1731241694202379E-2</v>
      </c>
      <c r="G83" s="13"/>
      <c r="H83" s="20">
        <f>+H21-H23+H81</f>
        <v>-194336.86999999994</v>
      </c>
      <c r="I83" s="13"/>
      <c r="J83" s="22">
        <f>IF(H$12=0,0,H83/H$12)</f>
        <v>-3.9001476677407583</v>
      </c>
      <c r="K83" s="15"/>
      <c r="L83" s="20">
        <f>+D83-H83</f>
        <v>188668.04999999993</v>
      </c>
      <c r="M83" s="15"/>
      <c r="N83" s="22">
        <f>IF(H83=0,0,L83/H83)</f>
        <v>-0.97082993052219058</v>
      </c>
      <c r="O83" s="26"/>
      <c r="P83" s="20">
        <f>+P21-P23+P81</f>
        <v>-194440.19999999995</v>
      </c>
      <c r="Q83" s="13"/>
      <c r="R83" s="22">
        <f>IF(P$12=0,0,P83/P$12)</f>
        <v>-0.3841085731033087</v>
      </c>
      <c r="S83" s="13"/>
      <c r="T83" s="20">
        <f>+T21-T23+T81</f>
        <v>-372668.56999999995</v>
      </c>
      <c r="U83" s="13"/>
      <c r="V83" s="22">
        <f>IF(T$12=0,0,T83/T$12)</f>
        <v>-5.3888103707559711</v>
      </c>
      <c r="W83" s="15"/>
      <c r="X83" s="20">
        <f>+P83-T83</f>
        <v>178228.37</v>
      </c>
      <c r="Y83" s="15"/>
      <c r="Z83" s="22">
        <f>IF(T83=0,0,X83/T83)</f>
        <v>-0.47824899749393951</v>
      </c>
    </row>
    <row r="84" spans="1:26" x14ac:dyDescent="0.3">
      <c r="A84" s="9"/>
      <c r="B84" s="10"/>
      <c r="C84" s="9"/>
      <c r="D84" s="3"/>
      <c r="E84" s="3"/>
      <c r="F84" s="6"/>
      <c r="G84" s="3"/>
      <c r="H84" s="3"/>
      <c r="I84" s="3"/>
      <c r="J84" s="6"/>
      <c r="K84" s="3"/>
      <c r="L84" s="3"/>
      <c r="M84" s="3"/>
      <c r="N84" s="6"/>
      <c r="P84" s="3"/>
      <c r="Q84" s="3"/>
      <c r="R84" s="6"/>
      <c r="S84" s="3"/>
      <c r="T84" s="3"/>
      <c r="U84" s="3"/>
      <c r="V84" s="6"/>
      <c r="W84" s="3"/>
      <c r="X84" s="3"/>
      <c r="Y84" s="3"/>
      <c r="Z84" s="6"/>
    </row>
    <row r="85" spans="1:26" s="23" customFormat="1" x14ac:dyDescent="0.3">
      <c r="A85" s="51"/>
      <c r="B85" s="10" t="s">
        <v>127</v>
      </c>
      <c r="C85" s="10"/>
      <c r="D85" s="4">
        <v>65024.65</v>
      </c>
      <c r="E85" s="4"/>
      <c r="F85" s="12">
        <f>IF(D$12=0,0,D85/D$12)</f>
        <v>0.13456413949127258</v>
      </c>
      <c r="G85" s="4"/>
      <c r="H85" s="4">
        <v>2380.36</v>
      </c>
      <c r="I85" s="4"/>
      <c r="J85" s="12">
        <f>IF(H$12=0,0,H85/H$12)</f>
        <v>4.7771457379052133E-2</v>
      </c>
      <c r="K85" s="4"/>
      <c r="L85" s="4">
        <f>+D85-H85</f>
        <v>62644.29</v>
      </c>
      <c r="M85" s="4"/>
      <c r="N85" s="12">
        <f>IF(H85=0,0,L85/H85)</f>
        <v>26.317149506797289</v>
      </c>
      <c r="O85" s="10"/>
      <c r="P85" s="4">
        <v>75644.72</v>
      </c>
      <c r="Q85" s="4"/>
      <c r="R85" s="12">
        <f>IF(P$12=0,0,P85/P$12)</f>
        <v>0.14943301571382525</v>
      </c>
      <c r="S85" s="4"/>
      <c r="T85" s="4">
        <v>11676.06</v>
      </c>
      <c r="U85" s="4"/>
      <c r="V85" s="12">
        <f>IF(T$12=0,0,T85/T$12)</f>
        <v>0.16883654346694429</v>
      </c>
      <c r="W85" s="4"/>
      <c r="X85" s="4">
        <f>+P85-T85</f>
        <v>63968.66</v>
      </c>
      <c r="Y85" s="4"/>
      <c r="Z85" s="12">
        <f>IF(T85=0,0,X85/T85)</f>
        <v>5.4786169307112162</v>
      </c>
    </row>
    <row r="86" spans="1:26" x14ac:dyDescent="0.3">
      <c r="A86" s="9"/>
      <c r="B86" s="10"/>
      <c r="C86" s="10"/>
      <c r="D86" s="3"/>
      <c r="E86" s="3"/>
      <c r="F86" s="6"/>
      <c r="G86" s="3"/>
      <c r="H86" s="3"/>
      <c r="I86" s="3"/>
      <c r="J86" s="6"/>
      <c r="K86" s="3"/>
      <c r="L86" s="3"/>
      <c r="M86" s="3"/>
      <c r="N86" s="6"/>
      <c r="O86" s="10"/>
      <c r="P86" s="3"/>
      <c r="Q86" s="3"/>
      <c r="R86" s="6"/>
      <c r="S86" s="3"/>
      <c r="T86" s="3"/>
      <c r="U86" s="3"/>
      <c r="V86" s="6"/>
      <c r="W86" s="3"/>
      <c r="X86" s="3"/>
      <c r="Y86" s="3"/>
      <c r="Z86" s="6"/>
    </row>
    <row r="87" spans="1:26" s="23" customFormat="1" ht="15" thickBot="1" x14ac:dyDescent="0.35">
      <c r="A87" s="10"/>
      <c r="B87" s="25" t="s">
        <v>125</v>
      </c>
      <c r="C87" s="25"/>
      <c r="D87" s="33">
        <f>+D83-D85</f>
        <v>-70693.47</v>
      </c>
      <c r="E87" s="13"/>
      <c r="F87" s="36">
        <f>IF(D$12=0,0,D87/D$12)</f>
        <v>-0.14629538118547494</v>
      </c>
      <c r="G87" s="13"/>
      <c r="H87" s="33">
        <f>+H83-H85</f>
        <v>-196717.22999999992</v>
      </c>
      <c r="I87" s="13"/>
      <c r="J87" s="36">
        <f>IF(H$12=0,0,H87/H$12)</f>
        <v>-3.9479191251198102</v>
      </c>
      <c r="K87" s="15"/>
      <c r="L87" s="33">
        <f>D87-H87</f>
        <v>126023.75999999992</v>
      </c>
      <c r="M87" s="15"/>
      <c r="N87" s="36">
        <f>IF(H87=0,0,L87/H87)</f>
        <v>-0.64063407155539942</v>
      </c>
      <c r="O87" s="26"/>
      <c r="P87" s="33">
        <f>+P83-P85</f>
        <v>-270084.91999999993</v>
      </c>
      <c r="Q87" s="13"/>
      <c r="R87" s="36">
        <f>IF(P$12=0,0,P87/P$12)</f>
        <v>-0.53354158881713387</v>
      </c>
      <c r="S87" s="13"/>
      <c r="T87" s="33">
        <f>+T83-T85</f>
        <v>-384344.62999999995</v>
      </c>
      <c r="U87" s="13"/>
      <c r="V87" s="36">
        <f>IF(T$12=0,0,T87/T$12)</f>
        <v>-5.5576469142229152</v>
      </c>
      <c r="W87" s="15"/>
      <c r="X87" s="33">
        <f>P87-T87</f>
        <v>114259.71000000002</v>
      </c>
      <c r="Y87" s="15"/>
      <c r="Z87" s="36">
        <f>IF(T87=0,0,X87/T87)</f>
        <v>-0.29728452300738545</v>
      </c>
    </row>
    <row r="88" spans="1:26" ht="15" thickTop="1" x14ac:dyDescent="0.3">
      <c r="A88" s="9"/>
      <c r="B88" s="9"/>
      <c r="C88" s="9"/>
      <c r="D88" s="3"/>
      <c r="E88" s="3"/>
      <c r="F88" s="6"/>
      <c r="G88" s="3"/>
      <c r="H88" s="3"/>
      <c r="I88" s="3"/>
      <c r="J88" s="6"/>
      <c r="K88" s="3"/>
      <c r="L88" s="3"/>
      <c r="M88" s="3"/>
      <c r="N88" s="6"/>
      <c r="P88" s="3"/>
      <c r="Q88" s="3"/>
      <c r="R88" s="6"/>
      <c r="S88" s="3"/>
      <c r="T88" s="3"/>
      <c r="U88" s="3"/>
      <c r="V88" s="6"/>
      <c r="W88" s="3"/>
      <c r="X88" s="3"/>
      <c r="Y88" s="3"/>
      <c r="Z88" s="6"/>
    </row>
    <row r="89" spans="1:26" x14ac:dyDescent="0.3">
      <c r="A89" s="9"/>
      <c r="B89" s="9"/>
      <c r="C89" s="9"/>
      <c r="D89" s="3"/>
      <c r="E89" s="3"/>
      <c r="F89" s="6"/>
      <c r="G89" s="3"/>
      <c r="H89" s="3"/>
      <c r="I89" s="3"/>
      <c r="J89" s="6"/>
      <c r="K89" s="3"/>
      <c r="L89" s="3"/>
      <c r="M89" s="3"/>
      <c r="N89" s="6"/>
      <c r="P89" s="3"/>
      <c r="Q89" s="3"/>
      <c r="R89" s="6"/>
      <c r="S89" s="3"/>
      <c r="T89" s="3"/>
      <c r="U89" s="3"/>
      <c r="V89" s="6"/>
      <c r="W89" s="3"/>
      <c r="X89" s="3"/>
      <c r="Y89" s="3"/>
      <c r="Z89" s="6"/>
    </row>
    <row r="90" spans="1:26" s="23" customFormat="1" ht="15" thickBot="1" x14ac:dyDescent="0.35">
      <c r="A90" s="10"/>
      <c r="B90" s="25" t="s">
        <v>293</v>
      </c>
      <c r="C90" s="25"/>
      <c r="D90" s="30">
        <f>SUM(D87:D89)</f>
        <v>-70693.47</v>
      </c>
      <c r="E90" s="13"/>
      <c r="F90" s="31">
        <f>IF(D$12=0,0,D90/D$12)</f>
        <v>-0.14629538118547494</v>
      </c>
      <c r="G90" s="13"/>
      <c r="H90" s="30">
        <f>SUM(H87:H89)</f>
        <v>-196717.22999999992</v>
      </c>
      <c r="I90" s="13"/>
      <c r="J90" s="31">
        <f>IF(H$12=0,0,H90/H$12)</f>
        <v>-3.9479191251198102</v>
      </c>
      <c r="K90" s="15"/>
      <c r="L90" s="30">
        <f>+D90-H90</f>
        <v>126023.75999999992</v>
      </c>
      <c r="M90" s="15"/>
      <c r="N90" s="31">
        <f>IF(H90=0,0,L90/H90)</f>
        <v>-0.64063407155539942</v>
      </c>
      <c r="O90" s="26"/>
      <c r="P90" s="30">
        <f>SUM(P87:P89)</f>
        <v>-270084.91999999993</v>
      </c>
      <c r="Q90" s="13"/>
      <c r="R90" s="31">
        <f>IF(P$12=0,0,P90/P$12)</f>
        <v>-0.53354158881713387</v>
      </c>
      <c r="S90" s="13"/>
      <c r="T90" s="30">
        <f>SUM(T87:T89)</f>
        <v>-384344.62999999995</v>
      </c>
      <c r="U90" s="13"/>
      <c r="V90" s="31">
        <f>IF(T$12=0,0,T90/T$12)</f>
        <v>-5.5576469142229152</v>
      </c>
      <c r="W90" s="15"/>
      <c r="X90" s="30">
        <f>+P90-T90</f>
        <v>114259.71000000002</v>
      </c>
      <c r="Y90" s="15"/>
      <c r="Z90" s="31">
        <f>IF(T90=0,0,X90/T90)</f>
        <v>-0.29728452300738545</v>
      </c>
    </row>
    <row r="91" spans="1:26" ht="15" thickTop="1" x14ac:dyDescent="0.3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3">
      <c r="A92" s="9"/>
      <c r="B92" s="59">
        <v>44470.840478854167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3">
      <c r="A93" s="9"/>
      <c r="B93" s="58" t="s">
        <v>56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3">
      <c r="A94" s="9"/>
      <c r="B94" s="52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3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","430", " - ", "Res Hall Management")</f>
        <v>Department 430 - Res Hall Management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18878.86</v>
      </c>
      <c r="E18" s="21"/>
      <c r="F18" s="32">
        <f t="shared" ref="F18:F27" si="0">IF(D$12=0,0,D18/D$12)</f>
        <v>0</v>
      </c>
      <c r="G18" s="21"/>
      <c r="H18" s="21">
        <f>SUM(OSRRefH22x_0)</f>
        <v>10800.34</v>
      </c>
      <c r="I18" s="21"/>
      <c r="J18" s="32">
        <f t="shared" ref="J18:J27" si="1">IF(H$12=0,0,H18/H$12)</f>
        <v>0</v>
      </c>
      <c r="K18" s="4"/>
      <c r="L18" s="21">
        <f t="shared" ref="L18:L27" si="2">+D18-H18</f>
        <v>8078.52</v>
      </c>
      <c r="M18" s="4"/>
      <c r="N18" s="32">
        <f t="shared" ref="N18:N27" si="3">IF(H18=0,0,L18/H18)</f>
        <v>0.74798756335448702</v>
      </c>
      <c r="O18" s="10"/>
      <c r="P18" s="21">
        <f>SUM(OSRRefP22x_0)</f>
        <v>39554.46</v>
      </c>
      <c r="Q18" s="21"/>
      <c r="R18" s="32">
        <f t="shared" ref="R18:R27" si="4">IF(P$12=0,0,P18/P$12)</f>
        <v>0</v>
      </c>
      <c r="S18" s="21"/>
      <c r="T18" s="21">
        <f>SUM(OSRRefT22x_0)</f>
        <v>32322.329999999998</v>
      </c>
      <c r="U18" s="21"/>
      <c r="V18" s="32">
        <f t="shared" ref="V18:V27" si="5">IF(T$12=0,0,T18/T$12)</f>
        <v>0</v>
      </c>
      <c r="W18" s="4"/>
      <c r="X18" s="21">
        <f t="shared" ref="X18:X27" si="6">+P18-T18</f>
        <v>7232.130000000001</v>
      </c>
      <c r="Y18" s="4"/>
      <c r="Z18" s="32">
        <f t="shared" ref="Z18:Z27" si="7">IF(T18=0,0,X18/T18)</f>
        <v>0.22375026800357528</v>
      </c>
    </row>
    <row r="19" spans="1:26" s="28" customFormat="1" outlineLevel="1" collapsed="1" x14ac:dyDescent="0.3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5704.79</v>
      </c>
      <c r="E19" s="1"/>
      <c r="F19" s="5">
        <f t="shared" si="0"/>
        <v>0</v>
      </c>
      <c r="G19" s="1"/>
      <c r="H19" s="1">
        <f>SUM(OSRRefH22_0x_0)</f>
        <v>5374.62</v>
      </c>
      <c r="I19" s="1"/>
      <c r="J19" s="5">
        <f t="shared" si="1"/>
        <v>0</v>
      </c>
      <c r="K19" s="1"/>
      <c r="L19" s="1">
        <f t="shared" si="2"/>
        <v>330.17000000000007</v>
      </c>
      <c r="M19" s="1"/>
      <c r="N19" s="5">
        <f t="shared" si="3"/>
        <v>6.1431319795632079E-2</v>
      </c>
      <c r="O19" s="14"/>
      <c r="P19" s="1">
        <f>SUM(OSRRefP22_0x_0)</f>
        <v>11452.85</v>
      </c>
      <c r="Q19" s="1"/>
      <c r="R19" s="5">
        <f t="shared" si="4"/>
        <v>0</v>
      </c>
      <c r="S19" s="1"/>
      <c r="T19" s="1">
        <f>SUM(OSRRefT22_0x_0)</f>
        <v>10707.87</v>
      </c>
      <c r="U19" s="1"/>
      <c r="V19" s="5">
        <f t="shared" si="5"/>
        <v>0</v>
      </c>
      <c r="W19" s="1"/>
      <c r="X19" s="1">
        <f t="shared" si="6"/>
        <v>744.97999999999956</v>
      </c>
      <c r="Y19" s="1"/>
      <c r="Z19" s="5">
        <f t="shared" si="7"/>
        <v>6.9573127055147246E-2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8">
        <f t="shared" si="0"/>
        <v>0</v>
      </c>
      <c r="G20" s="2"/>
      <c r="H20" s="7">
        <v>685.42</v>
      </c>
      <c r="I20" s="2"/>
      <c r="J20" s="8">
        <f t="shared" si="1"/>
        <v>0</v>
      </c>
      <c r="K20" s="2"/>
      <c r="L20" s="7">
        <f t="shared" si="2"/>
        <v>5.7300000000000182</v>
      </c>
      <c r="M20" s="2"/>
      <c r="N20" s="8">
        <f t="shared" si="3"/>
        <v>8.359837763706952E-3</v>
      </c>
      <c r="O20" s="11"/>
      <c r="P20" s="7">
        <v>1376.57</v>
      </c>
      <c r="Q20" s="2"/>
      <c r="R20" s="8">
        <f t="shared" si="4"/>
        <v>0</v>
      </c>
      <c r="S20" s="2"/>
      <c r="T20" s="7">
        <v>1370.84</v>
      </c>
      <c r="U20" s="2"/>
      <c r="V20" s="8">
        <f t="shared" si="5"/>
        <v>0</v>
      </c>
      <c r="W20" s="2"/>
      <c r="X20" s="7">
        <f t="shared" si="6"/>
        <v>5.7300000000000182</v>
      </c>
      <c r="Y20" s="2"/>
      <c r="Z20" s="8">
        <f t="shared" si="7"/>
        <v>4.179918881853476E-3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7">
        <v>325.24</v>
      </c>
      <c r="E21" s="2"/>
      <c r="F21" s="8">
        <f t="shared" si="0"/>
        <v>0</v>
      </c>
      <c r="G21" s="2"/>
      <c r="H21" s="7">
        <v>384.36</v>
      </c>
      <c r="I21" s="2"/>
      <c r="J21" s="8">
        <f t="shared" si="1"/>
        <v>0</v>
      </c>
      <c r="K21" s="2"/>
      <c r="L21" s="7">
        <f t="shared" si="2"/>
        <v>-59.120000000000005</v>
      </c>
      <c r="M21" s="2"/>
      <c r="N21" s="8">
        <f t="shared" si="3"/>
        <v>-0.15381413258403581</v>
      </c>
      <c r="O21" s="11"/>
      <c r="P21" s="7">
        <v>647.78</v>
      </c>
      <c r="Q21" s="2"/>
      <c r="R21" s="8">
        <f t="shared" si="4"/>
        <v>0</v>
      </c>
      <c r="S21" s="2"/>
      <c r="T21" s="7">
        <v>768.72</v>
      </c>
      <c r="U21" s="2"/>
      <c r="V21" s="8">
        <f t="shared" si="5"/>
        <v>0</v>
      </c>
      <c r="W21" s="2"/>
      <c r="X21" s="7">
        <f t="shared" si="6"/>
        <v>-120.94000000000005</v>
      </c>
      <c r="Y21" s="2"/>
      <c r="Z21" s="8">
        <f t="shared" si="7"/>
        <v>-0.15732646477260909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7">
        <v>2687.98</v>
      </c>
      <c r="E22" s="2"/>
      <c r="F22" s="8">
        <f t="shared" si="0"/>
        <v>0</v>
      </c>
      <c r="G22" s="2"/>
      <c r="H22" s="7">
        <v>2737.9</v>
      </c>
      <c r="I22" s="2"/>
      <c r="J22" s="8">
        <f t="shared" si="1"/>
        <v>0</v>
      </c>
      <c r="K22" s="2"/>
      <c r="L22" s="7">
        <f t="shared" si="2"/>
        <v>-49.920000000000073</v>
      </c>
      <c r="M22" s="2"/>
      <c r="N22" s="8">
        <f t="shared" si="3"/>
        <v>-1.8232952262683105E-2</v>
      </c>
      <c r="O22" s="11"/>
      <c r="P22" s="7">
        <v>5375.96</v>
      </c>
      <c r="Q22" s="2"/>
      <c r="R22" s="8">
        <f t="shared" si="4"/>
        <v>0</v>
      </c>
      <c r="S22" s="2"/>
      <c r="T22" s="7">
        <v>5475.8</v>
      </c>
      <c r="U22" s="2"/>
      <c r="V22" s="8">
        <f t="shared" si="5"/>
        <v>0</v>
      </c>
      <c r="W22" s="2"/>
      <c r="X22" s="7">
        <f t="shared" si="6"/>
        <v>-99.840000000000146</v>
      </c>
      <c r="Y22" s="2"/>
      <c r="Z22" s="8">
        <f t="shared" si="7"/>
        <v>-1.8232952262683105E-2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8">
        <f t="shared" si="0"/>
        <v>0</v>
      </c>
      <c r="G23" s="2"/>
      <c r="H23" s="7">
        <v>23.29</v>
      </c>
      <c r="I23" s="2"/>
      <c r="J23" s="8">
        <f t="shared" si="1"/>
        <v>0</v>
      </c>
      <c r="K23" s="2"/>
      <c r="L23" s="7">
        <f t="shared" si="2"/>
        <v>0.19999999999999929</v>
      </c>
      <c r="M23" s="2"/>
      <c r="N23" s="8">
        <f t="shared" si="3"/>
        <v>8.587376556461971E-3</v>
      </c>
      <c r="O23" s="11"/>
      <c r="P23" s="7">
        <v>46.78</v>
      </c>
      <c r="Q23" s="2"/>
      <c r="R23" s="8">
        <f t="shared" si="4"/>
        <v>0</v>
      </c>
      <c r="S23" s="2"/>
      <c r="T23" s="7">
        <v>46.58</v>
      </c>
      <c r="U23" s="2"/>
      <c r="V23" s="8">
        <f t="shared" si="5"/>
        <v>0</v>
      </c>
      <c r="W23" s="2"/>
      <c r="X23" s="7">
        <f t="shared" si="6"/>
        <v>0.20000000000000284</v>
      </c>
      <c r="Y23" s="2"/>
      <c r="Z23" s="8">
        <f t="shared" si="7"/>
        <v>4.2936882782310618E-3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7">
        <v>680.03</v>
      </c>
      <c r="E24" s="2"/>
      <c r="F24" s="8">
        <f t="shared" si="0"/>
        <v>0</v>
      </c>
      <c r="G24" s="2"/>
      <c r="H24" s="7">
        <v>692.57</v>
      </c>
      <c r="I24" s="2"/>
      <c r="J24" s="8">
        <f t="shared" si="1"/>
        <v>0</v>
      </c>
      <c r="K24" s="2"/>
      <c r="L24" s="7">
        <f t="shared" si="2"/>
        <v>-12.540000000000077</v>
      </c>
      <c r="M24" s="2"/>
      <c r="N24" s="8">
        <f t="shared" si="3"/>
        <v>-1.8106472991899845E-2</v>
      </c>
      <c r="O24" s="11"/>
      <c r="P24" s="7">
        <v>1360.06</v>
      </c>
      <c r="Q24" s="2"/>
      <c r="R24" s="8">
        <f t="shared" si="4"/>
        <v>0</v>
      </c>
      <c r="S24" s="2"/>
      <c r="T24" s="7">
        <v>1731.43</v>
      </c>
      <c r="U24" s="2"/>
      <c r="V24" s="8">
        <f t="shared" si="5"/>
        <v>0</v>
      </c>
      <c r="W24" s="2"/>
      <c r="X24" s="7">
        <f t="shared" si="6"/>
        <v>-371.37000000000012</v>
      </c>
      <c r="Y24" s="2"/>
      <c r="Z24" s="8">
        <f t="shared" si="7"/>
        <v>-0.2144874467925357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7">
        <v>827.64</v>
      </c>
      <c r="E25" s="2"/>
      <c r="F25" s="8">
        <f t="shared" si="0"/>
        <v>0</v>
      </c>
      <c r="G25" s="2"/>
      <c r="H25" s="7">
        <v>413.82</v>
      </c>
      <c r="I25" s="2"/>
      <c r="J25" s="8">
        <f t="shared" si="1"/>
        <v>0</v>
      </c>
      <c r="K25" s="2"/>
      <c r="L25" s="7">
        <f t="shared" si="2"/>
        <v>413.82</v>
      </c>
      <c r="M25" s="2"/>
      <c r="N25" s="8">
        <f t="shared" si="3"/>
        <v>1</v>
      </c>
      <c r="O25" s="11"/>
      <c r="P25" s="7">
        <v>1655.28</v>
      </c>
      <c r="Q25" s="2"/>
      <c r="R25" s="8">
        <f t="shared" si="4"/>
        <v>0</v>
      </c>
      <c r="S25" s="2"/>
      <c r="T25" s="7">
        <v>447.98</v>
      </c>
      <c r="U25" s="2"/>
      <c r="V25" s="8">
        <f t="shared" si="5"/>
        <v>0</v>
      </c>
      <c r="W25" s="2"/>
      <c r="X25" s="7">
        <f t="shared" si="6"/>
        <v>1207.3</v>
      </c>
      <c r="Y25" s="2"/>
      <c r="Z25" s="8">
        <f t="shared" si="7"/>
        <v>2.6949863833206837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8">
        <f t="shared" si="0"/>
        <v>0</v>
      </c>
      <c r="G26" s="2"/>
      <c r="H26" s="7">
        <v>413.26</v>
      </c>
      <c r="I26" s="2"/>
      <c r="J26" s="8">
        <f t="shared" si="1"/>
        <v>0</v>
      </c>
      <c r="K26" s="2"/>
      <c r="L26" s="7">
        <f t="shared" si="2"/>
        <v>0</v>
      </c>
      <c r="M26" s="2"/>
      <c r="N26" s="8">
        <f t="shared" si="3"/>
        <v>0</v>
      </c>
      <c r="O26" s="11"/>
      <c r="P26" s="7">
        <v>826.52</v>
      </c>
      <c r="Q26" s="2"/>
      <c r="R26" s="8">
        <f t="shared" si="4"/>
        <v>0</v>
      </c>
      <c r="S26" s="2"/>
      <c r="T26" s="7">
        <v>826.52</v>
      </c>
      <c r="U26" s="2"/>
      <c r="V26" s="8">
        <f t="shared" si="5"/>
        <v>0</v>
      </c>
      <c r="W26" s="2"/>
      <c r="X26" s="7">
        <f t="shared" si="6"/>
        <v>0</v>
      </c>
      <c r="Y26" s="2"/>
      <c r="Z26" s="8">
        <f t="shared" si="7"/>
        <v>0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7">
        <v>56</v>
      </c>
      <c r="E27" s="2"/>
      <c r="F27" s="8">
        <f t="shared" si="0"/>
        <v>0</v>
      </c>
      <c r="G27" s="2"/>
      <c r="H27" s="7">
        <v>24</v>
      </c>
      <c r="I27" s="2"/>
      <c r="J27" s="8">
        <f t="shared" si="1"/>
        <v>0</v>
      </c>
      <c r="K27" s="2"/>
      <c r="L27" s="7">
        <f t="shared" si="2"/>
        <v>32</v>
      </c>
      <c r="M27" s="2"/>
      <c r="N27" s="8">
        <f t="shared" si="3"/>
        <v>1.3333333333333333</v>
      </c>
      <c r="O27" s="11"/>
      <c r="P27" s="7">
        <v>163.9</v>
      </c>
      <c r="Q27" s="2"/>
      <c r="R27" s="8">
        <f t="shared" si="4"/>
        <v>0</v>
      </c>
      <c r="S27" s="2"/>
      <c r="T27" s="7">
        <v>40</v>
      </c>
      <c r="U27" s="2"/>
      <c r="V27" s="8">
        <f t="shared" si="5"/>
        <v>0</v>
      </c>
      <c r="W27" s="2"/>
      <c r="X27" s="7">
        <f t="shared" si="6"/>
        <v>123.9</v>
      </c>
      <c r="Y27" s="2"/>
      <c r="Z27" s="8">
        <f t="shared" si="7"/>
        <v>3.0975000000000001</v>
      </c>
    </row>
    <row r="28" spans="1:26" s="28" customFormat="1" outlineLevel="1" collapsed="1" x14ac:dyDescent="0.3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8959.5400000000009</v>
      </c>
      <c r="E28" s="1"/>
      <c r="F28" s="5">
        <f t="shared" ref="F28:F36" si="8">IF(D$12=0,0,D28/D$12)</f>
        <v>0</v>
      </c>
      <c r="G28" s="1"/>
      <c r="H28" s="1">
        <f>SUM(OSRRefH22_1x_0)</f>
        <v>5375.72</v>
      </c>
      <c r="I28" s="1"/>
      <c r="J28" s="5">
        <f t="shared" ref="J28:J36" si="9">IF(H$12=0,0,H28/H$12)</f>
        <v>0</v>
      </c>
      <c r="K28" s="1"/>
      <c r="L28" s="1">
        <f t="shared" ref="L28:L36" si="10">+D28-H28</f>
        <v>3583.8200000000006</v>
      </c>
      <c r="M28" s="1"/>
      <c r="N28" s="5">
        <f t="shared" ref="N28:N36" si="11">IF(H28=0,0,L28/H28)</f>
        <v>0.66666790681062271</v>
      </c>
      <c r="O28" s="14"/>
      <c r="P28" s="1">
        <f>SUM(OSRRefP22_1x_0)</f>
        <v>20159.080000000002</v>
      </c>
      <c r="Q28" s="1"/>
      <c r="R28" s="5">
        <f t="shared" ref="R28:R36" si="12">IF(P$12=0,0,P28/P$12)</f>
        <v>0</v>
      </c>
      <c r="S28" s="1"/>
      <c r="T28" s="1">
        <f>SUM(OSRRefT22_1x_0)</f>
        <v>16575.259999999998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3583.8200000000033</v>
      </c>
      <c r="Y28" s="1"/>
      <c r="Z28" s="5">
        <f t="shared" ref="Z28:Z36" si="15">IF(T28=0,0,X28/T28)</f>
        <v>0.21621500959864301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7">
        <v>8959.5400000000009</v>
      </c>
      <c r="E29" s="2"/>
      <c r="F29" s="8">
        <f t="shared" si="8"/>
        <v>0</v>
      </c>
      <c r="G29" s="2"/>
      <c r="H29" s="7">
        <v>5375.72</v>
      </c>
      <c r="I29" s="2"/>
      <c r="J29" s="8">
        <f t="shared" si="9"/>
        <v>0</v>
      </c>
      <c r="K29" s="2"/>
      <c r="L29" s="7">
        <f t="shared" si="10"/>
        <v>3583.8200000000006</v>
      </c>
      <c r="M29" s="2"/>
      <c r="N29" s="8">
        <f t="shared" si="11"/>
        <v>0.66666790681062271</v>
      </c>
      <c r="O29" s="11"/>
      <c r="P29" s="7">
        <v>20159.080000000002</v>
      </c>
      <c r="Q29" s="2"/>
      <c r="R29" s="8">
        <f t="shared" si="12"/>
        <v>0</v>
      </c>
      <c r="S29" s="2"/>
      <c r="T29" s="7">
        <v>16575.259999999998</v>
      </c>
      <c r="U29" s="2"/>
      <c r="V29" s="8">
        <f t="shared" si="13"/>
        <v>0</v>
      </c>
      <c r="W29" s="2"/>
      <c r="X29" s="7">
        <f t="shared" si="14"/>
        <v>3583.8200000000033</v>
      </c>
      <c r="Y29" s="2"/>
      <c r="Z29" s="8">
        <f t="shared" si="15"/>
        <v>0.21621500959864301</v>
      </c>
    </row>
    <row r="30" spans="1:26" s="28" customFormat="1" outlineLevel="1" collapsed="1" x14ac:dyDescent="0.3">
      <c r="A30" s="29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170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170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8">
        <f t="shared" si="8"/>
        <v>0</v>
      </c>
      <c r="G31" s="2"/>
      <c r="H31" s="7"/>
      <c r="I31" s="2"/>
      <c r="J31" s="8">
        <f t="shared" si="9"/>
        <v>0</v>
      </c>
      <c r="K31" s="2"/>
      <c r="L31" s="7">
        <f t="shared" si="10"/>
        <v>0</v>
      </c>
      <c r="M31" s="2"/>
      <c r="N31" s="8">
        <f t="shared" si="11"/>
        <v>0</v>
      </c>
      <c r="O31" s="11"/>
      <c r="P31" s="7">
        <v>170</v>
      </c>
      <c r="Q31" s="2"/>
      <c r="R31" s="8">
        <f t="shared" si="12"/>
        <v>0</v>
      </c>
      <c r="S31" s="2"/>
      <c r="T31" s="7"/>
      <c r="U31" s="2"/>
      <c r="V31" s="8">
        <f t="shared" si="13"/>
        <v>0</v>
      </c>
      <c r="W31" s="2"/>
      <c r="X31" s="7">
        <f t="shared" si="14"/>
        <v>170</v>
      </c>
      <c r="Y31" s="2"/>
      <c r="Z31" s="8">
        <f t="shared" si="15"/>
        <v>0</v>
      </c>
    </row>
    <row r="32" spans="1:26" s="28" customFormat="1" outlineLevel="1" collapsed="1" x14ac:dyDescent="0.3">
      <c r="A32" s="29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3500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3500</v>
      </c>
      <c r="M32" s="1"/>
      <c r="N32" s="5">
        <f t="shared" si="11"/>
        <v>0</v>
      </c>
      <c r="O32" s="14"/>
      <c r="P32" s="1">
        <f>SUM(OSRRefP22_3x_0)</f>
        <v>7000</v>
      </c>
      <c r="Q32" s="1"/>
      <c r="R32" s="5">
        <f t="shared" si="12"/>
        <v>0</v>
      </c>
      <c r="S32" s="1"/>
      <c r="T32" s="1">
        <f>SUM(OSRRefT22_3x_0)</f>
        <v>0</v>
      </c>
      <c r="U32" s="1"/>
      <c r="V32" s="5">
        <f t="shared" si="13"/>
        <v>0</v>
      </c>
      <c r="W32" s="1"/>
      <c r="X32" s="1">
        <f t="shared" si="14"/>
        <v>7000</v>
      </c>
      <c r="Y32" s="1"/>
      <c r="Z32" s="5">
        <f t="shared" si="15"/>
        <v>0</v>
      </c>
    </row>
    <row r="33" spans="1:26" s="24" customFormat="1" hidden="1" outlineLevel="2" x14ac:dyDescent="0.3">
      <c r="A33" s="27"/>
      <c r="B33" s="11" t="str">
        <f>CONCATENATE("          ", "6371", " - ", "COMPUTER SOFTWARE MAINTENANCE")</f>
        <v xml:space="preserve">          6371 - COMPUTER SOFTWARE MAINTENANCE</v>
      </c>
      <c r="C33" s="11"/>
      <c r="D33" s="7">
        <v>3500</v>
      </c>
      <c r="E33" s="2"/>
      <c r="F33" s="8">
        <f t="shared" si="8"/>
        <v>0</v>
      </c>
      <c r="G33" s="2"/>
      <c r="H33" s="7"/>
      <c r="I33" s="2"/>
      <c r="J33" s="8">
        <f t="shared" si="9"/>
        <v>0</v>
      </c>
      <c r="K33" s="2"/>
      <c r="L33" s="7">
        <f t="shared" si="10"/>
        <v>3500</v>
      </c>
      <c r="M33" s="2"/>
      <c r="N33" s="8">
        <f t="shared" si="11"/>
        <v>0</v>
      </c>
      <c r="O33" s="11"/>
      <c r="P33" s="7">
        <v>7000</v>
      </c>
      <c r="Q33" s="2"/>
      <c r="R33" s="8">
        <f t="shared" si="12"/>
        <v>0</v>
      </c>
      <c r="S33" s="2"/>
      <c r="T33" s="7"/>
      <c r="U33" s="2"/>
      <c r="V33" s="8">
        <f t="shared" si="13"/>
        <v>0</v>
      </c>
      <c r="W33" s="2"/>
      <c r="X33" s="7">
        <f t="shared" si="14"/>
        <v>7000</v>
      </c>
      <c r="Y33" s="2"/>
      <c r="Z33" s="8">
        <f t="shared" si="15"/>
        <v>0</v>
      </c>
    </row>
    <row r="34" spans="1:26" s="28" customFormat="1" outlineLevel="1" collapsed="1" x14ac:dyDescent="0.3">
      <c r="A34" s="29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44.53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44.53</v>
      </c>
      <c r="M34" s="1"/>
      <c r="N34" s="5">
        <f t="shared" si="11"/>
        <v>0</v>
      </c>
      <c r="O34" s="14"/>
      <c r="P34" s="1">
        <f>SUM(OSRRefP22_4x_0)</f>
        <v>44.53</v>
      </c>
      <c r="Q34" s="1"/>
      <c r="R34" s="5">
        <f t="shared" si="12"/>
        <v>0</v>
      </c>
      <c r="S34" s="1"/>
      <c r="T34" s="1">
        <f>SUM(OSRRefT22_4x_0)</f>
        <v>4939.2</v>
      </c>
      <c r="U34" s="1"/>
      <c r="V34" s="5">
        <f t="shared" si="13"/>
        <v>0</v>
      </c>
      <c r="W34" s="1"/>
      <c r="X34" s="1">
        <f t="shared" si="14"/>
        <v>-4894.67</v>
      </c>
      <c r="Y34" s="1"/>
      <c r="Z34" s="5">
        <f t="shared" si="15"/>
        <v>-0.99098436993845163</v>
      </c>
    </row>
    <row r="35" spans="1:26" s="24" customFormat="1" hidden="1" outlineLevel="2" x14ac:dyDescent="0.3">
      <c r="A35" s="27"/>
      <c r="B35" s="11" t="str">
        <f>CONCATENATE("          ", "6235", " - ", "COVID-19 EXPENSES")</f>
        <v xml:space="preserve">          6235 - COVID-19 EXPENSES</v>
      </c>
      <c r="C35" s="11"/>
      <c r="D35" s="7"/>
      <c r="E35" s="2"/>
      <c r="F35" s="8">
        <f t="shared" si="8"/>
        <v>0</v>
      </c>
      <c r="G35" s="2"/>
      <c r="H35" s="7"/>
      <c r="I35" s="2"/>
      <c r="J35" s="8">
        <f t="shared" si="9"/>
        <v>0</v>
      </c>
      <c r="K35" s="2"/>
      <c r="L35" s="7">
        <f t="shared" si="10"/>
        <v>0</v>
      </c>
      <c r="M35" s="2"/>
      <c r="N35" s="8">
        <f t="shared" si="11"/>
        <v>0</v>
      </c>
      <c r="O35" s="11"/>
      <c r="P35" s="7"/>
      <c r="Q35" s="2"/>
      <c r="R35" s="8">
        <f t="shared" si="12"/>
        <v>0</v>
      </c>
      <c r="S35" s="2"/>
      <c r="T35" s="7">
        <v>4939.2</v>
      </c>
      <c r="U35" s="2"/>
      <c r="V35" s="8">
        <f t="shared" si="13"/>
        <v>0</v>
      </c>
      <c r="W35" s="2"/>
      <c r="X35" s="7">
        <f t="shared" si="14"/>
        <v>-4939.2</v>
      </c>
      <c r="Y35" s="2"/>
      <c r="Z35" s="8">
        <f t="shared" si="15"/>
        <v>-1</v>
      </c>
    </row>
    <row r="36" spans="1:26" s="24" customFormat="1" hidden="1" outlineLevel="2" x14ac:dyDescent="0.3">
      <c r="A36" s="27"/>
      <c r="B36" s="11" t="str">
        <f>CONCATENATE("          ", "6241", " - ", "OFFICE EXPENSE")</f>
        <v xml:space="preserve">          6241 - OFFICE EXPENSE</v>
      </c>
      <c r="C36" s="11"/>
      <c r="D36" s="7">
        <v>44.53</v>
      </c>
      <c r="E36" s="2"/>
      <c r="F36" s="8">
        <f t="shared" si="8"/>
        <v>0</v>
      </c>
      <c r="G36" s="2"/>
      <c r="H36" s="7"/>
      <c r="I36" s="2"/>
      <c r="J36" s="8">
        <f t="shared" si="9"/>
        <v>0</v>
      </c>
      <c r="K36" s="2"/>
      <c r="L36" s="7">
        <f t="shared" si="10"/>
        <v>44.53</v>
      </c>
      <c r="M36" s="2"/>
      <c r="N36" s="8">
        <f t="shared" si="11"/>
        <v>0</v>
      </c>
      <c r="O36" s="11"/>
      <c r="P36" s="7">
        <v>44.53</v>
      </c>
      <c r="Q36" s="2"/>
      <c r="R36" s="8">
        <f t="shared" si="12"/>
        <v>0</v>
      </c>
      <c r="S36" s="2"/>
      <c r="T36" s="7"/>
      <c r="U36" s="2"/>
      <c r="V36" s="8">
        <f t="shared" si="13"/>
        <v>0</v>
      </c>
      <c r="W36" s="2"/>
      <c r="X36" s="7">
        <f t="shared" si="14"/>
        <v>44.53</v>
      </c>
      <c r="Y36" s="2"/>
      <c r="Z36" s="8">
        <f t="shared" si="15"/>
        <v>0</v>
      </c>
    </row>
    <row r="37" spans="1:26" s="28" customFormat="1" outlineLevel="1" collapsed="1" x14ac:dyDescent="0.3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75</v>
      </c>
      <c r="E37" s="1"/>
      <c r="F37" s="5">
        <f t="shared" ref="F37:F40" si="16">IF(D$12=0,0,D37/D$12)</f>
        <v>0</v>
      </c>
      <c r="G37" s="1"/>
      <c r="H37" s="1">
        <f>SUM(OSRRefH22_5x_0)</f>
        <v>50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25</v>
      </c>
      <c r="M37" s="1"/>
      <c r="N37" s="5">
        <f t="shared" ref="N37:N40" si="19">IF(H37=0,0,L37/H37)</f>
        <v>0.5</v>
      </c>
      <c r="O37" s="14"/>
      <c r="P37" s="1">
        <f>SUM(OSRRefP22_5x_0)</f>
        <v>133</v>
      </c>
      <c r="Q37" s="1"/>
      <c r="R37" s="5">
        <f t="shared" ref="R37:R40" si="20">IF(P$12=0,0,P37/P$12)</f>
        <v>0</v>
      </c>
      <c r="S37" s="1"/>
      <c r="T37" s="1">
        <f>SUM(OSRRefT22_5x_0)</f>
        <v>100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33</v>
      </c>
      <c r="Y37" s="1"/>
      <c r="Z37" s="5">
        <f t="shared" ref="Z37:Z40" si="23">IF(T37=0,0,X37/T37)</f>
        <v>0.33</v>
      </c>
    </row>
    <row r="38" spans="1:26" s="24" customFormat="1" hidden="1" outlineLevel="2" x14ac:dyDescent="0.3">
      <c r="A38" s="27"/>
      <c r="B38" s="11" t="str">
        <f>CONCATENATE("          ", "6309", " - ", "TELEPHONE")</f>
        <v xml:space="preserve">          6309 - TELEPHONE</v>
      </c>
      <c r="C38" s="11"/>
      <c r="D38" s="7">
        <v>75</v>
      </c>
      <c r="E38" s="2"/>
      <c r="F38" s="8">
        <f t="shared" si="16"/>
        <v>0</v>
      </c>
      <c r="G38" s="2"/>
      <c r="H38" s="7">
        <v>50</v>
      </c>
      <c r="I38" s="2"/>
      <c r="J38" s="8">
        <f t="shared" si="17"/>
        <v>0</v>
      </c>
      <c r="K38" s="2"/>
      <c r="L38" s="7">
        <f t="shared" si="18"/>
        <v>25</v>
      </c>
      <c r="M38" s="2"/>
      <c r="N38" s="8">
        <f t="shared" si="19"/>
        <v>0.5</v>
      </c>
      <c r="O38" s="11"/>
      <c r="P38" s="7">
        <v>133</v>
      </c>
      <c r="Q38" s="2"/>
      <c r="R38" s="8">
        <f t="shared" si="20"/>
        <v>0</v>
      </c>
      <c r="S38" s="2"/>
      <c r="T38" s="7">
        <v>100</v>
      </c>
      <c r="U38" s="2"/>
      <c r="V38" s="8">
        <f t="shared" si="21"/>
        <v>0</v>
      </c>
      <c r="W38" s="2"/>
      <c r="X38" s="7">
        <f t="shared" si="22"/>
        <v>33</v>
      </c>
      <c r="Y38" s="2"/>
      <c r="Z38" s="8">
        <f t="shared" si="23"/>
        <v>0.33</v>
      </c>
    </row>
    <row r="39" spans="1:26" s="28" customFormat="1" outlineLevel="1" collapsed="1" x14ac:dyDescent="0.3">
      <c r="A39" s="29"/>
      <c r="B39" s="14" t="str">
        <f>CONCATENATE("     ","Travel                                            ")</f>
        <v xml:space="preserve">     Travel                                            </v>
      </c>
      <c r="C39" s="14"/>
      <c r="D39" s="1">
        <f>SUM(OSRRefD22_6x_0)</f>
        <v>595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595</v>
      </c>
      <c r="M39" s="1"/>
      <c r="N39" s="5">
        <f t="shared" si="19"/>
        <v>0</v>
      </c>
      <c r="O39" s="14"/>
      <c r="P39" s="1">
        <f>SUM(OSRRefP22_6x_0)</f>
        <v>595</v>
      </c>
      <c r="Q39" s="1"/>
      <c r="R39" s="5">
        <f t="shared" si="20"/>
        <v>0</v>
      </c>
      <c r="S39" s="1"/>
      <c r="T39" s="1">
        <f>SUM(OSRRefT22_6x_0)</f>
        <v>0</v>
      </c>
      <c r="U39" s="1"/>
      <c r="V39" s="5">
        <f t="shared" si="21"/>
        <v>0</v>
      </c>
      <c r="W39" s="1"/>
      <c r="X39" s="1">
        <f t="shared" si="22"/>
        <v>595</v>
      </c>
      <c r="Y39" s="1"/>
      <c r="Z39" s="5">
        <f t="shared" si="23"/>
        <v>0</v>
      </c>
    </row>
    <row r="40" spans="1:26" s="24" customFormat="1" hidden="1" outlineLevel="2" x14ac:dyDescent="0.3">
      <c r="A40" s="27"/>
      <c r="B40" s="11" t="str">
        <f>CONCATENATE("          ", "6292", " - ", "TRAVEL/CONFERENCE")</f>
        <v xml:space="preserve">          6292 - TRAVEL/CONFERENCE</v>
      </c>
      <c r="C40" s="11"/>
      <c r="D40" s="7">
        <v>595</v>
      </c>
      <c r="E40" s="2"/>
      <c r="F40" s="8">
        <f t="shared" si="16"/>
        <v>0</v>
      </c>
      <c r="G40" s="2"/>
      <c r="H40" s="7"/>
      <c r="I40" s="2"/>
      <c r="J40" s="8">
        <f t="shared" si="17"/>
        <v>0</v>
      </c>
      <c r="K40" s="2"/>
      <c r="L40" s="7">
        <f t="shared" si="18"/>
        <v>595</v>
      </c>
      <c r="M40" s="2"/>
      <c r="N40" s="8">
        <f t="shared" si="19"/>
        <v>0</v>
      </c>
      <c r="O40" s="11"/>
      <c r="P40" s="7">
        <v>595</v>
      </c>
      <c r="Q40" s="2"/>
      <c r="R40" s="8">
        <f t="shared" si="20"/>
        <v>0</v>
      </c>
      <c r="S40" s="2"/>
      <c r="T40" s="7"/>
      <c r="U40" s="2"/>
      <c r="V40" s="8">
        <f t="shared" si="21"/>
        <v>0</v>
      </c>
      <c r="W40" s="2"/>
      <c r="X40" s="7">
        <f t="shared" si="22"/>
        <v>595</v>
      </c>
      <c r="Y40" s="2"/>
      <c r="Z40" s="8">
        <f t="shared" si="23"/>
        <v>0</v>
      </c>
    </row>
    <row r="41" spans="1:26" s="61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6"/>
      <c r="G43" s="3"/>
      <c r="H43" s="3"/>
      <c r="I43" s="3"/>
      <c r="J43" s="6"/>
      <c r="K43" s="3"/>
      <c r="L43" s="3"/>
      <c r="M43" s="3"/>
      <c r="N43" s="6"/>
      <c r="O43" s="10"/>
      <c r="P43" s="3"/>
      <c r="Q43" s="3"/>
      <c r="R43" s="6"/>
      <c r="S43" s="3"/>
      <c r="T43" s="3"/>
      <c r="U43" s="3"/>
      <c r="V43" s="6"/>
      <c r="W43" s="3"/>
      <c r="X43" s="3"/>
      <c r="Y43" s="3"/>
      <c r="Z43" s="6"/>
    </row>
    <row r="44" spans="1:26" s="23" customFormat="1" x14ac:dyDescent="0.3">
      <c r="A44" s="10"/>
      <c r="B44" s="25" t="s">
        <v>276</v>
      </c>
      <c r="C44" s="25"/>
      <c r="D44" s="20">
        <f>+D16-D18+D42</f>
        <v>-18878.86</v>
      </c>
      <c r="E44" s="13"/>
      <c r="F44" s="22">
        <f>IF(D$12=0,0,D44/D$12)</f>
        <v>0</v>
      </c>
      <c r="G44" s="13"/>
      <c r="H44" s="20">
        <f>+H16-H18+H42</f>
        <v>-10800.34</v>
      </c>
      <c r="I44" s="13"/>
      <c r="J44" s="22">
        <f>IF(H$12=0,0,H44/H$12)</f>
        <v>0</v>
      </c>
      <c r="K44" s="15"/>
      <c r="L44" s="20">
        <f>+D44-H44</f>
        <v>-8078.52</v>
      </c>
      <c r="M44" s="15"/>
      <c r="N44" s="22">
        <f>IF(H44=0,0,L44/H44)</f>
        <v>0.74798756335448702</v>
      </c>
      <c r="O44" s="26"/>
      <c r="P44" s="20">
        <f>+P16-P18+P42</f>
        <v>-39554.46</v>
      </c>
      <c r="Q44" s="13"/>
      <c r="R44" s="22">
        <f>IF(P$12=0,0,P44/P$12)</f>
        <v>0</v>
      </c>
      <c r="S44" s="13"/>
      <c r="T44" s="20">
        <f>+T16-T18+T42</f>
        <v>-32322.329999999998</v>
      </c>
      <c r="U44" s="13"/>
      <c r="V44" s="22">
        <f>IF(T$12=0,0,T44/T$12)</f>
        <v>0</v>
      </c>
      <c r="W44" s="15"/>
      <c r="X44" s="20">
        <f>+P44-T44</f>
        <v>-7232.130000000001</v>
      </c>
      <c r="Y44" s="15"/>
      <c r="Z44" s="22">
        <f>IF(T44=0,0,X44/T44)</f>
        <v>0.22375026800357528</v>
      </c>
    </row>
    <row r="45" spans="1:26" x14ac:dyDescent="0.3">
      <c r="A45" s="9"/>
      <c r="B45" s="10"/>
      <c r="C45" s="9"/>
      <c r="D45" s="3"/>
      <c r="E45" s="3"/>
      <c r="F45" s="6"/>
      <c r="G45" s="3"/>
      <c r="H45" s="3"/>
      <c r="I45" s="3"/>
      <c r="J45" s="6"/>
      <c r="K45" s="3"/>
      <c r="L45" s="3"/>
      <c r="M45" s="3"/>
      <c r="N45" s="6"/>
      <c r="P45" s="3"/>
      <c r="Q45" s="3"/>
      <c r="R45" s="6"/>
      <c r="S45" s="3"/>
      <c r="T45" s="3"/>
      <c r="U45" s="3"/>
      <c r="V45" s="6"/>
      <c r="W45" s="3"/>
      <c r="X45" s="3"/>
      <c r="Y45" s="3"/>
      <c r="Z45" s="6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6"/>
      <c r="G47" s="3"/>
      <c r="H47" s="3"/>
      <c r="I47" s="3"/>
      <c r="J47" s="6"/>
      <c r="K47" s="3"/>
      <c r="L47" s="3"/>
      <c r="M47" s="3"/>
      <c r="N47" s="6"/>
      <c r="O47" s="10"/>
      <c r="P47" s="3"/>
      <c r="Q47" s="3"/>
      <c r="R47" s="6"/>
      <c r="S47" s="3"/>
      <c r="T47" s="3"/>
      <c r="U47" s="3"/>
      <c r="V47" s="6"/>
      <c r="W47" s="3"/>
      <c r="X47" s="3"/>
      <c r="Y47" s="3"/>
      <c r="Z47" s="6"/>
    </row>
    <row r="48" spans="1:26" s="23" customFormat="1" ht="15" thickBot="1" x14ac:dyDescent="0.35">
      <c r="A48" s="10"/>
      <c r="B48" s="25" t="s">
        <v>125</v>
      </c>
      <c r="C48" s="25"/>
      <c r="D48" s="33">
        <f>+D44-D46</f>
        <v>-18878.86</v>
      </c>
      <c r="E48" s="13"/>
      <c r="F48" s="36">
        <f>IF(D$12=0,0,D48/D$12)</f>
        <v>0</v>
      </c>
      <c r="G48" s="13"/>
      <c r="H48" s="33">
        <f>+H44-H46</f>
        <v>-10800.34</v>
      </c>
      <c r="I48" s="13"/>
      <c r="J48" s="36">
        <f>IF(H$12=0,0,H48/H$12)</f>
        <v>0</v>
      </c>
      <c r="K48" s="15"/>
      <c r="L48" s="33">
        <f>D48-H48</f>
        <v>-8078.52</v>
      </c>
      <c r="M48" s="15"/>
      <c r="N48" s="36">
        <f>IF(H48=0,0,L48/H48)</f>
        <v>0.74798756335448702</v>
      </c>
      <c r="O48" s="26"/>
      <c r="P48" s="33">
        <f>+P44-P46</f>
        <v>-39554.46</v>
      </c>
      <c r="Q48" s="13"/>
      <c r="R48" s="36">
        <f>IF(P$12=0,0,P48/P$12)</f>
        <v>0</v>
      </c>
      <c r="S48" s="13"/>
      <c r="T48" s="33">
        <f>+T44-T46</f>
        <v>-32322.329999999998</v>
      </c>
      <c r="U48" s="13"/>
      <c r="V48" s="36">
        <f>IF(T$12=0,0,T48/T$12)</f>
        <v>0</v>
      </c>
      <c r="W48" s="15"/>
      <c r="X48" s="33">
        <f>P48-T48</f>
        <v>-7232.130000000001</v>
      </c>
      <c r="Y48" s="15"/>
      <c r="Z48" s="36">
        <f>IF(T48=0,0,X48/T48)</f>
        <v>0.22375026800357528</v>
      </c>
    </row>
    <row r="49" spans="1:26" ht="15" thickTop="1" x14ac:dyDescent="0.3">
      <c r="A49" s="9"/>
      <c r="B49" s="9"/>
      <c r="C49" s="9"/>
      <c r="D49" s="3"/>
      <c r="E49" s="3"/>
      <c r="F49" s="6"/>
      <c r="G49" s="3"/>
      <c r="H49" s="3"/>
      <c r="I49" s="3"/>
      <c r="J49" s="6"/>
      <c r="K49" s="3"/>
      <c r="L49" s="3"/>
      <c r="M49" s="3"/>
      <c r="N49" s="6"/>
      <c r="P49" s="3"/>
      <c r="Q49" s="3"/>
      <c r="R49" s="6"/>
      <c r="S49" s="3"/>
      <c r="T49" s="3"/>
      <c r="U49" s="3"/>
      <c r="V49" s="6"/>
      <c r="W49" s="3"/>
      <c r="X49" s="3"/>
      <c r="Y49" s="3"/>
      <c r="Z49" s="6"/>
    </row>
    <row r="50" spans="1:26" x14ac:dyDescent="0.3">
      <c r="A50" s="9"/>
      <c r="B50" s="9"/>
      <c r="C50" s="9"/>
      <c r="D50" s="3"/>
      <c r="E50" s="3"/>
      <c r="F50" s="6"/>
      <c r="G50" s="3"/>
      <c r="H50" s="3"/>
      <c r="I50" s="3"/>
      <c r="J50" s="6"/>
      <c r="K50" s="3"/>
      <c r="L50" s="3"/>
      <c r="M50" s="3"/>
      <c r="N50" s="6"/>
      <c r="P50" s="3"/>
      <c r="Q50" s="3"/>
      <c r="R50" s="6"/>
      <c r="S50" s="3"/>
      <c r="T50" s="3"/>
      <c r="U50" s="3"/>
      <c r="V50" s="6"/>
      <c r="W50" s="3"/>
      <c r="X50" s="3"/>
      <c r="Y50" s="3"/>
      <c r="Z50" s="6"/>
    </row>
    <row r="51" spans="1:26" s="23" customFormat="1" ht="15" thickBot="1" x14ac:dyDescent="0.35">
      <c r="A51" s="10"/>
      <c r="B51" s="25" t="s">
        <v>293</v>
      </c>
      <c r="C51" s="25"/>
      <c r="D51" s="30">
        <f>SUM(D48:D50)</f>
        <v>-18878.86</v>
      </c>
      <c r="E51" s="13"/>
      <c r="F51" s="31">
        <f>IF(D$12=0,0,D51/D$12)</f>
        <v>0</v>
      </c>
      <c r="G51" s="13"/>
      <c r="H51" s="30">
        <f>SUM(H48:H50)</f>
        <v>-10800.34</v>
      </c>
      <c r="I51" s="13"/>
      <c r="J51" s="31">
        <f>IF(H$12=0,0,H51/H$12)</f>
        <v>0</v>
      </c>
      <c r="K51" s="15"/>
      <c r="L51" s="30">
        <f>+D51-H51</f>
        <v>-8078.52</v>
      </c>
      <c r="M51" s="15"/>
      <c r="N51" s="31">
        <f>IF(H51=0,0,L51/H51)</f>
        <v>0.74798756335448702</v>
      </c>
      <c r="O51" s="26"/>
      <c r="P51" s="30">
        <f>SUM(P48:P50)</f>
        <v>-39554.46</v>
      </c>
      <c r="Q51" s="13"/>
      <c r="R51" s="31">
        <f>IF(P$12=0,0,P51/P$12)</f>
        <v>0</v>
      </c>
      <c r="S51" s="13"/>
      <c r="T51" s="30">
        <f>SUM(T48:T50)</f>
        <v>-32322.329999999998</v>
      </c>
      <c r="U51" s="13"/>
      <c r="V51" s="31">
        <f>IF(T$12=0,0,T51/T$12)</f>
        <v>0</v>
      </c>
      <c r="W51" s="15"/>
      <c r="X51" s="30">
        <f>+P51-T51</f>
        <v>-7232.130000000001</v>
      </c>
      <c r="Y51" s="15"/>
      <c r="Z51" s="31">
        <f>IF(T51=0,0,X51/T51)</f>
        <v>0.22375026800357528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3">
      <c r="A53" s="9"/>
      <c r="B53" s="59">
        <v>44470.840542939812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3">
      <c r="A54" s="9"/>
      <c r="B54" s="58" t="s">
        <v>56</v>
      </c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3">
      <c r="A55" s="9"/>
      <c r="B55" s="52"/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3"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","433", " - ", "Hillside Dining Hall")</f>
        <v>Department 433 - Hillside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210442.61</v>
      </c>
      <c r="E12" s="4"/>
      <c r="F12" s="12"/>
      <c r="G12" s="4"/>
      <c r="H12" s="4">
        <f>SUM(OSRRefH13x_0)</f>
        <v>3157</v>
      </c>
      <c r="I12" s="4"/>
      <c r="J12" s="12"/>
      <c r="K12" s="4"/>
      <c r="L12" s="4">
        <f t="shared" ref="L12:L15" si="0">+D12-H12</f>
        <v>207285.61</v>
      </c>
      <c r="M12" s="4"/>
      <c r="N12" s="12">
        <f t="shared" ref="N12:N15" si="1">IF(H12=0,0,L12/H12)</f>
        <v>65.659046563192902</v>
      </c>
      <c r="O12" s="10"/>
      <c r="P12" s="4">
        <f>SUM(OSRRefP13x_0)</f>
        <v>210442.61</v>
      </c>
      <c r="Q12" s="4"/>
      <c r="R12" s="12"/>
      <c r="S12" s="4"/>
      <c r="T12" s="4">
        <f>SUM(OSRRefT13x_0)</f>
        <v>22484.920000000002</v>
      </c>
      <c r="U12" s="4"/>
      <c r="V12" s="12"/>
      <c r="W12" s="4"/>
      <c r="X12" s="4">
        <f t="shared" ref="X12:X15" si="2">+P12-T12</f>
        <v>187957.68999999997</v>
      </c>
      <c r="Y12" s="4"/>
      <c r="Z12" s="12">
        <f t="shared" ref="Z12:Z15" si="3">IF(T12=0,0,X12/T12)</f>
        <v>8.3592776847771724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--303.31</f>
        <v>303.31</v>
      </c>
      <c r="E13" s="2"/>
      <c r="F13" s="19"/>
      <c r="G13" s="2"/>
      <c r="H13" s="2">
        <f>--17.76</f>
        <v>17.760000000000002</v>
      </c>
      <c r="I13" s="2"/>
      <c r="J13" s="19"/>
      <c r="K13" s="2"/>
      <c r="L13" s="2">
        <f t="shared" si="0"/>
        <v>285.55</v>
      </c>
      <c r="M13" s="2"/>
      <c r="N13" s="19">
        <f t="shared" si="1"/>
        <v>16.078265765765764</v>
      </c>
      <c r="O13" s="11"/>
      <c r="P13" s="2">
        <f>--303.31</f>
        <v>303.31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85.66</v>
      </c>
      <c r="Y13" s="2"/>
      <c r="Z13" s="19">
        <f t="shared" si="3"/>
        <v>0.39356765449115549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--196022.21</f>
        <v>196022.21</v>
      </c>
      <c r="E14" s="2"/>
      <c r="F14" s="19"/>
      <c r="G14" s="2"/>
      <c r="H14" s="2">
        <f>--1800</f>
        <v>1800</v>
      </c>
      <c r="I14" s="2"/>
      <c r="J14" s="19"/>
      <c r="K14" s="2"/>
      <c r="L14" s="2">
        <f t="shared" si="0"/>
        <v>194222.21</v>
      </c>
      <c r="M14" s="2"/>
      <c r="N14" s="19">
        <f t="shared" si="1"/>
        <v>107.90122777777778</v>
      </c>
      <c r="O14" s="11"/>
      <c r="P14" s="2">
        <f>--196022.21</f>
        <v>196022.21</v>
      </c>
      <c r="Q14" s="2"/>
      <c r="R14" s="19"/>
      <c r="S14" s="2"/>
      <c r="T14" s="2">
        <f>--3100</f>
        <v>3100</v>
      </c>
      <c r="U14" s="2"/>
      <c r="V14" s="19"/>
      <c r="W14" s="2"/>
      <c r="X14" s="2">
        <f t="shared" si="2"/>
        <v>192922.21</v>
      </c>
      <c r="Y14" s="2"/>
      <c r="Z14" s="19">
        <f t="shared" si="3"/>
        <v>62.232970967741934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--14117.09</f>
        <v>14117.09</v>
      </c>
      <c r="E15" s="2"/>
      <c r="F15" s="19"/>
      <c r="G15" s="2"/>
      <c r="H15" s="2">
        <f>--1339.24</f>
        <v>1339.24</v>
      </c>
      <c r="I15" s="2"/>
      <c r="J15" s="19"/>
      <c r="K15" s="2"/>
      <c r="L15" s="2">
        <f t="shared" si="0"/>
        <v>12777.85</v>
      </c>
      <c r="M15" s="2"/>
      <c r="N15" s="19">
        <f t="shared" si="1"/>
        <v>9.5411203369075004</v>
      </c>
      <c r="O15" s="11"/>
      <c r="P15" s="2">
        <f>--14117.09</f>
        <v>14117.09</v>
      </c>
      <c r="Q15" s="2"/>
      <c r="R15" s="19"/>
      <c r="S15" s="2"/>
      <c r="T15" s="2">
        <f>--19167.27</f>
        <v>19167.27</v>
      </c>
      <c r="U15" s="2"/>
      <c r="V15" s="19"/>
      <c r="W15" s="2"/>
      <c r="X15" s="2">
        <f t="shared" si="2"/>
        <v>-5050.18</v>
      </c>
      <c r="Y15" s="2"/>
      <c r="Z15" s="19">
        <f t="shared" si="3"/>
        <v>-0.26347935830193869</v>
      </c>
    </row>
    <row r="16" spans="1:26" x14ac:dyDescent="0.3">
      <c r="A16" s="9"/>
      <c r="B16" s="10"/>
      <c r="C16" s="9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49432.229999999996</v>
      </c>
      <c r="E17" s="4"/>
      <c r="F17" s="12">
        <f t="shared" ref="F17:F19" si="4">IF(D$12=0,0,D17/D$12)</f>
        <v>0.23489648793084253</v>
      </c>
      <c r="G17" s="4"/>
      <c r="H17" s="4">
        <f>SUM(OSRRefH16x_0)</f>
        <v>13427.3</v>
      </c>
      <c r="I17" s="4"/>
      <c r="J17" s="12">
        <f t="shared" ref="J17:J19" si="5">IF(H$12=0,0,H17/H$12)</f>
        <v>4.2531834019638897</v>
      </c>
      <c r="K17" s="4"/>
      <c r="L17" s="4">
        <f t="shared" ref="L17:L19" si="6">+D17-H17</f>
        <v>36004.929999999993</v>
      </c>
      <c r="M17" s="4"/>
      <c r="N17" s="12">
        <f t="shared" ref="N17:N19" si="7">IF(H17=0,0,L17/H17)</f>
        <v>2.6814720755475783</v>
      </c>
      <c r="O17" s="10"/>
      <c r="P17" s="4">
        <f>SUM(OSRRefP16x_0)</f>
        <v>49432.229999999996</v>
      </c>
      <c r="Q17" s="4"/>
      <c r="R17" s="12">
        <f t="shared" ref="R17:R19" si="8">IF(P$12=0,0,P17/P$12)</f>
        <v>0.23489648793084253</v>
      </c>
      <c r="S17" s="4"/>
      <c r="T17" s="4">
        <f>SUM(OSRRefT16x_0)</f>
        <v>25116.92</v>
      </c>
      <c r="U17" s="4"/>
      <c r="V17" s="12">
        <f t="shared" ref="V17:V19" si="9">IF(T$12=0,0,T17/T$12)</f>
        <v>1.1170562314653554</v>
      </c>
      <c r="W17" s="4"/>
      <c r="X17" s="4">
        <f t="shared" ref="X17:X19" si="10">+P17-T17</f>
        <v>24315.309999999998</v>
      </c>
      <c r="Y17" s="4"/>
      <c r="Z17" s="12">
        <f t="shared" ref="Z17:Z19" si="11">IF(T17=0,0,X17/T17)</f>
        <v>0.96808486072336897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70670.23</v>
      </c>
      <c r="E18" s="2"/>
      <c r="F18" s="19">
        <f t="shared" si="4"/>
        <v>0.33581711422415833</v>
      </c>
      <c r="G18" s="2"/>
      <c r="H18" s="2">
        <v>5924.3</v>
      </c>
      <c r="I18" s="2"/>
      <c r="J18" s="19">
        <f t="shared" si="5"/>
        <v>1.8765600253405132</v>
      </c>
      <c r="K18" s="2"/>
      <c r="L18" s="2">
        <f t="shared" si="6"/>
        <v>64745.929999999993</v>
      </c>
      <c r="M18" s="2"/>
      <c r="N18" s="19">
        <f t="shared" si="7"/>
        <v>10.928874297385343</v>
      </c>
      <c r="O18" s="11"/>
      <c r="P18" s="2">
        <v>70670.23</v>
      </c>
      <c r="Q18" s="2"/>
      <c r="R18" s="19">
        <f t="shared" si="8"/>
        <v>0.33581711422415833</v>
      </c>
      <c r="S18" s="2"/>
      <c r="T18" s="2">
        <v>14204.92</v>
      </c>
      <c r="U18" s="2"/>
      <c r="V18" s="19">
        <f t="shared" si="9"/>
        <v>0.63175319280655651</v>
      </c>
      <c r="W18" s="2"/>
      <c r="X18" s="2">
        <f t="shared" si="10"/>
        <v>56465.31</v>
      </c>
      <c r="Y18" s="2"/>
      <c r="Z18" s="19">
        <f t="shared" si="11"/>
        <v>3.9750530098022372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-21238</v>
      </c>
      <c r="E19" s="2"/>
      <c r="F19" s="19">
        <f t="shared" si="4"/>
        <v>-0.1009206262933158</v>
      </c>
      <c r="G19" s="2"/>
      <c r="H19" s="2">
        <v>7503</v>
      </c>
      <c r="I19" s="2"/>
      <c r="J19" s="19">
        <f t="shared" si="5"/>
        <v>2.3766233766233764</v>
      </c>
      <c r="K19" s="2"/>
      <c r="L19" s="2">
        <f t="shared" si="6"/>
        <v>-28741</v>
      </c>
      <c r="M19" s="2"/>
      <c r="N19" s="19">
        <f t="shared" si="7"/>
        <v>-3.8306010928961749</v>
      </c>
      <c r="O19" s="11"/>
      <c r="P19" s="2">
        <v>-21238</v>
      </c>
      <c r="Q19" s="2"/>
      <c r="R19" s="19">
        <f t="shared" si="8"/>
        <v>-0.1009206262933158</v>
      </c>
      <c r="S19" s="2"/>
      <c r="T19" s="2">
        <v>10912</v>
      </c>
      <c r="U19" s="2"/>
      <c r="V19" s="19">
        <f t="shared" si="9"/>
        <v>0.48530303865879881</v>
      </c>
      <c r="W19" s="2"/>
      <c r="X19" s="2">
        <f t="shared" si="10"/>
        <v>-32150</v>
      </c>
      <c r="Y19" s="2"/>
      <c r="Z19" s="19">
        <f t="shared" si="11"/>
        <v>-2.9462976539589443</v>
      </c>
    </row>
    <row r="20" spans="1:26" x14ac:dyDescent="0.3">
      <c r="A20" s="9"/>
      <c r="B20" s="10"/>
      <c r="C20" s="10"/>
      <c r="D20" s="3"/>
      <c r="E20" s="3"/>
      <c r="F20" s="6"/>
      <c r="G20" s="3"/>
      <c r="H20" s="3"/>
      <c r="I20" s="3"/>
      <c r="J20" s="6"/>
      <c r="K20" s="3"/>
      <c r="L20" s="3"/>
      <c r="M20" s="3"/>
      <c r="N20" s="6"/>
      <c r="O20" s="10"/>
      <c r="P20" s="3"/>
      <c r="Q20" s="3"/>
      <c r="R20" s="6"/>
      <c r="S20" s="3"/>
      <c r="T20" s="3"/>
      <c r="U20" s="3"/>
      <c r="V20" s="6"/>
      <c r="W20" s="3"/>
      <c r="X20" s="3"/>
      <c r="Y20" s="3"/>
      <c r="Z20" s="6"/>
    </row>
    <row r="21" spans="1:26" s="23" customFormat="1" x14ac:dyDescent="0.3">
      <c r="A21" s="10"/>
      <c r="B21" s="25" t="s">
        <v>107</v>
      </c>
      <c r="C21" s="25"/>
      <c r="D21" s="20">
        <f>D12-D17</f>
        <v>161010.38</v>
      </c>
      <c r="E21" s="13"/>
      <c r="F21" s="22">
        <f>IF(D$12=0,0,D21/D$12)</f>
        <v>0.7651035120691575</v>
      </c>
      <c r="G21" s="13"/>
      <c r="H21" s="20">
        <f>H12-H17</f>
        <v>-10270.299999999999</v>
      </c>
      <c r="I21" s="13"/>
      <c r="J21" s="22">
        <f>IF(H$12=0,0,H21/H$12)</f>
        <v>-3.2531834019638897</v>
      </c>
      <c r="K21" s="15"/>
      <c r="L21" s="20">
        <f>+D21-H21</f>
        <v>171280.68</v>
      </c>
      <c r="M21" s="15"/>
      <c r="N21" s="22">
        <f>IF(H21=0,0,L21/H21)</f>
        <v>-16.677281092081049</v>
      </c>
      <c r="O21" s="26"/>
      <c r="P21" s="20">
        <f>P12-P17</f>
        <v>161010.38</v>
      </c>
      <c r="Q21" s="13"/>
      <c r="R21" s="22">
        <f>IF(P$12=0,0,P21/P$12)</f>
        <v>0.7651035120691575</v>
      </c>
      <c r="S21" s="13"/>
      <c r="T21" s="20">
        <f>T12-T17</f>
        <v>-2631.9999999999964</v>
      </c>
      <c r="U21" s="13"/>
      <c r="V21" s="22">
        <f>IF(T$12=0,0,T21/T$12)</f>
        <v>-0.11705623146535528</v>
      </c>
      <c r="W21" s="15"/>
      <c r="X21" s="20">
        <f>+P21-T21</f>
        <v>163642.38</v>
      </c>
      <c r="Y21" s="15"/>
      <c r="Z21" s="22">
        <f>IF(T21=0,0,X21/T21)</f>
        <v>-62.174156534954498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1">
        <f>SUM(OSRRefD22x_0)</f>
        <v>93012.349999999991</v>
      </c>
      <c r="E23" s="21"/>
      <c r="F23" s="32">
        <f t="shared" ref="F23:F33" si="12">IF(D$12=0,0,D23/D$12)</f>
        <v>0.44198439660104955</v>
      </c>
      <c r="G23" s="21"/>
      <c r="H23" s="21">
        <f>SUM(OSRRefH22x_0)</f>
        <v>54062.239999999998</v>
      </c>
      <c r="I23" s="21"/>
      <c r="J23" s="32">
        <f t="shared" ref="J23:J33" si="13">IF(H$12=0,0,H23/H$12)</f>
        <v>17.12456129236617</v>
      </c>
      <c r="K23" s="4"/>
      <c r="L23" s="21">
        <f t="shared" ref="L23:L33" si="14">+D23-H23</f>
        <v>38950.109999999993</v>
      </c>
      <c r="M23" s="4"/>
      <c r="N23" s="32">
        <f t="shared" ref="N23:N33" si="15">IF(H23=0,0,L23/H23)</f>
        <v>0.72046792733708398</v>
      </c>
      <c r="O23" s="10"/>
      <c r="P23" s="21">
        <f>SUM(OSRRefP22x_0)</f>
        <v>134511.16</v>
      </c>
      <c r="Q23" s="21"/>
      <c r="R23" s="32">
        <f t="shared" ref="R23:R33" si="16">IF(P$12=0,0,P23/P$12)</f>
        <v>0.63918215042096282</v>
      </c>
      <c r="S23" s="21"/>
      <c r="T23" s="21">
        <f>SUM(OSRRefT22x_0)</f>
        <v>113521.76999999997</v>
      </c>
      <c r="U23" s="21"/>
      <c r="V23" s="32">
        <f t="shared" ref="V23:V33" si="17">IF(T$12=0,0,T23/T$12)</f>
        <v>5.0487958151507755</v>
      </c>
      <c r="W23" s="4"/>
      <c r="X23" s="21">
        <f t="shared" ref="X23:X33" si="18">+P23-T23</f>
        <v>20989.390000000029</v>
      </c>
      <c r="Y23" s="4"/>
      <c r="Z23" s="32">
        <f t="shared" ref="Z23:Z33" si="19">IF(T23=0,0,X23/T23)</f>
        <v>0.18489308262195026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19309.000000000004</v>
      </c>
      <c r="E24" s="1"/>
      <c r="F24" s="5">
        <f t="shared" si="12"/>
        <v>9.1754231711914255E-2</v>
      </c>
      <c r="G24" s="1"/>
      <c r="H24" s="1">
        <f>SUM(OSRRefH22_0x_0)</f>
        <v>20617.259999999998</v>
      </c>
      <c r="I24" s="1"/>
      <c r="J24" s="5">
        <f t="shared" si="13"/>
        <v>6.5306493506493499</v>
      </c>
      <c r="K24" s="1"/>
      <c r="L24" s="1">
        <f t="shared" si="14"/>
        <v>-1308.2599999999948</v>
      </c>
      <c r="M24" s="1"/>
      <c r="N24" s="5">
        <f t="shared" si="15"/>
        <v>-6.3454600659835242E-2</v>
      </c>
      <c r="O24" s="14"/>
      <c r="P24" s="1">
        <f>SUM(OSRRefP22_0x_0)</f>
        <v>36103.340000000004</v>
      </c>
      <c r="Q24" s="1"/>
      <c r="R24" s="5">
        <f t="shared" si="16"/>
        <v>0.17155907731803938</v>
      </c>
      <c r="S24" s="1"/>
      <c r="T24" s="1">
        <f>SUM(OSRRefT22_0x_0)</f>
        <v>39236.279999999992</v>
      </c>
      <c r="U24" s="1"/>
      <c r="V24" s="5">
        <f t="shared" si="17"/>
        <v>1.745004207264246</v>
      </c>
      <c r="W24" s="1"/>
      <c r="X24" s="1">
        <f t="shared" si="18"/>
        <v>-3132.9399999999878</v>
      </c>
      <c r="Y24" s="1"/>
      <c r="Z24" s="5">
        <f t="shared" si="19"/>
        <v>-7.9848038601008767E-2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2326.91</v>
      </c>
      <c r="E25" s="2"/>
      <c r="F25" s="8">
        <f t="shared" si="12"/>
        <v>1.1057218877868888E-2</v>
      </c>
      <c r="G25" s="2"/>
      <c r="H25" s="7">
        <v>1932.91</v>
      </c>
      <c r="I25" s="2"/>
      <c r="J25" s="8">
        <f t="shared" si="13"/>
        <v>0.6122616407982262</v>
      </c>
      <c r="K25" s="2"/>
      <c r="L25" s="7">
        <f t="shared" si="14"/>
        <v>393.99999999999977</v>
      </c>
      <c r="M25" s="2"/>
      <c r="N25" s="8">
        <f t="shared" si="15"/>
        <v>0.2038377368837658</v>
      </c>
      <c r="O25" s="11"/>
      <c r="P25" s="7">
        <v>3696.13</v>
      </c>
      <c r="Q25" s="2"/>
      <c r="R25" s="8">
        <f t="shared" si="16"/>
        <v>1.7563600831599649E-2</v>
      </c>
      <c r="S25" s="2"/>
      <c r="T25" s="7">
        <v>3827.36</v>
      </c>
      <c r="U25" s="2"/>
      <c r="V25" s="8">
        <f t="shared" si="17"/>
        <v>0.17021897342752387</v>
      </c>
      <c r="W25" s="2"/>
      <c r="X25" s="7">
        <f t="shared" si="18"/>
        <v>-131.23000000000002</v>
      </c>
      <c r="Y25" s="2"/>
      <c r="Z25" s="8">
        <f t="shared" si="19"/>
        <v>-3.4287341666318298E-2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1059.3499999999999</v>
      </c>
      <c r="E26" s="2"/>
      <c r="F26" s="8">
        <f t="shared" si="12"/>
        <v>5.0339139967899085E-3</v>
      </c>
      <c r="G26" s="2"/>
      <c r="H26" s="7">
        <v>1080.0999999999999</v>
      </c>
      <c r="I26" s="2"/>
      <c r="J26" s="8">
        <f t="shared" si="13"/>
        <v>0.34212860310421284</v>
      </c>
      <c r="K26" s="2"/>
      <c r="L26" s="7">
        <f t="shared" si="14"/>
        <v>-20.75</v>
      </c>
      <c r="M26" s="2"/>
      <c r="N26" s="8">
        <f t="shared" si="15"/>
        <v>-1.9211184149615777E-2</v>
      </c>
      <c r="O26" s="11"/>
      <c r="P26" s="7">
        <v>1702.82</v>
      </c>
      <c r="Q26" s="2"/>
      <c r="R26" s="8">
        <f t="shared" si="16"/>
        <v>8.0916122452577462E-3</v>
      </c>
      <c r="S26" s="2"/>
      <c r="T26" s="7">
        <v>2142.4</v>
      </c>
      <c r="U26" s="2"/>
      <c r="V26" s="8">
        <f t="shared" si="17"/>
        <v>9.5281637648699652E-2</v>
      </c>
      <c r="W26" s="2"/>
      <c r="X26" s="7">
        <f t="shared" si="18"/>
        <v>-439.58000000000015</v>
      </c>
      <c r="Y26" s="2"/>
      <c r="Z26" s="8">
        <f t="shared" si="19"/>
        <v>-0.20518110530246458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10588.88</v>
      </c>
      <c r="E27" s="2"/>
      <c r="F27" s="8">
        <f t="shared" si="12"/>
        <v>5.0317186239041606E-2</v>
      </c>
      <c r="G27" s="2"/>
      <c r="H27" s="7">
        <v>12526.51</v>
      </c>
      <c r="I27" s="2"/>
      <c r="J27" s="8">
        <f t="shared" si="13"/>
        <v>3.9678523915109283</v>
      </c>
      <c r="K27" s="2"/>
      <c r="L27" s="7">
        <f t="shared" si="14"/>
        <v>-1937.630000000001</v>
      </c>
      <c r="M27" s="2"/>
      <c r="N27" s="8">
        <f t="shared" si="15"/>
        <v>-0.15468234967281397</v>
      </c>
      <c r="O27" s="11"/>
      <c r="P27" s="7">
        <v>21177.759999999998</v>
      </c>
      <c r="Q27" s="2"/>
      <c r="R27" s="8">
        <f t="shared" si="16"/>
        <v>0.10063437247808321</v>
      </c>
      <c r="S27" s="2"/>
      <c r="T27" s="7">
        <v>22353.09</v>
      </c>
      <c r="U27" s="2"/>
      <c r="V27" s="8">
        <f t="shared" si="17"/>
        <v>0.99413695934875457</v>
      </c>
      <c r="W27" s="2"/>
      <c r="X27" s="7">
        <f t="shared" si="18"/>
        <v>-1175.3300000000017</v>
      </c>
      <c r="Y27" s="2"/>
      <c r="Z27" s="8">
        <f t="shared" si="19"/>
        <v>-5.258020255812515E-2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76.510000000000005</v>
      </c>
      <c r="E28" s="2"/>
      <c r="F28" s="8">
        <f t="shared" si="12"/>
        <v>3.6356705517005328E-4</v>
      </c>
      <c r="G28" s="2"/>
      <c r="H28" s="7">
        <v>65.459999999999994</v>
      </c>
      <c r="I28" s="2"/>
      <c r="J28" s="8">
        <f t="shared" si="13"/>
        <v>2.0734874881216343E-2</v>
      </c>
      <c r="K28" s="2"/>
      <c r="L28" s="7">
        <f t="shared" si="14"/>
        <v>11.050000000000011</v>
      </c>
      <c r="M28" s="2"/>
      <c r="N28" s="8">
        <f t="shared" si="15"/>
        <v>0.16880537732966716</v>
      </c>
      <c r="O28" s="11"/>
      <c r="P28" s="7">
        <v>122.98</v>
      </c>
      <c r="Q28" s="2"/>
      <c r="R28" s="8">
        <f t="shared" si="16"/>
        <v>5.8438735387286831E-4</v>
      </c>
      <c r="S28" s="2"/>
      <c r="T28" s="7">
        <v>129.84</v>
      </c>
      <c r="U28" s="2"/>
      <c r="V28" s="8">
        <f t="shared" si="17"/>
        <v>5.7745368896131273E-3</v>
      </c>
      <c r="W28" s="2"/>
      <c r="X28" s="7">
        <f t="shared" si="18"/>
        <v>-6.8599999999999994</v>
      </c>
      <c r="Y28" s="2"/>
      <c r="Z28" s="8">
        <f t="shared" si="19"/>
        <v>-5.2834257547751069E-2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935.58</v>
      </c>
      <c r="E29" s="2"/>
      <c r="F29" s="8">
        <f t="shared" si="12"/>
        <v>4.4457726503201993E-3</v>
      </c>
      <c r="G29" s="2"/>
      <c r="H29" s="7">
        <v>950.04</v>
      </c>
      <c r="I29" s="2"/>
      <c r="J29" s="8">
        <f t="shared" si="13"/>
        <v>0.3009312638580931</v>
      </c>
      <c r="K29" s="2"/>
      <c r="L29" s="7">
        <f t="shared" si="14"/>
        <v>-14.459999999999923</v>
      </c>
      <c r="M29" s="2"/>
      <c r="N29" s="8">
        <f t="shared" si="15"/>
        <v>-1.5220411772135829E-2</v>
      </c>
      <c r="O29" s="11"/>
      <c r="P29" s="7">
        <v>1871.16</v>
      </c>
      <c r="Q29" s="2"/>
      <c r="R29" s="8">
        <f t="shared" si="16"/>
        <v>8.8915453006403987E-3</v>
      </c>
      <c r="S29" s="2"/>
      <c r="T29" s="7">
        <v>2375.09</v>
      </c>
      <c r="U29" s="2"/>
      <c r="V29" s="8">
        <f t="shared" si="17"/>
        <v>0.10563035136438111</v>
      </c>
      <c r="W29" s="2"/>
      <c r="X29" s="7">
        <f t="shared" si="18"/>
        <v>-503.93000000000006</v>
      </c>
      <c r="Y29" s="2"/>
      <c r="Z29" s="8">
        <f t="shared" si="19"/>
        <v>-0.21217301239110942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576.29</v>
      </c>
      <c r="E30" s="2"/>
      <c r="F30" s="8">
        <f t="shared" si="12"/>
        <v>2.7384663210554177E-3</v>
      </c>
      <c r="G30" s="2"/>
      <c r="H30" s="7">
        <v>336.5</v>
      </c>
      <c r="I30" s="2"/>
      <c r="J30" s="8">
        <f t="shared" si="13"/>
        <v>0.10658853341780171</v>
      </c>
      <c r="K30" s="2"/>
      <c r="L30" s="7">
        <f t="shared" si="14"/>
        <v>239.78999999999996</v>
      </c>
      <c r="M30" s="2"/>
      <c r="N30" s="8">
        <f t="shared" si="15"/>
        <v>0.71260029717682005</v>
      </c>
      <c r="O30" s="11"/>
      <c r="P30" s="7">
        <v>922.71</v>
      </c>
      <c r="Q30" s="2"/>
      <c r="R30" s="8">
        <f t="shared" si="16"/>
        <v>4.3846158342172245E-3</v>
      </c>
      <c r="S30" s="2"/>
      <c r="T30" s="7">
        <v>861.42</v>
      </c>
      <c r="U30" s="2"/>
      <c r="V30" s="8">
        <f t="shared" si="17"/>
        <v>3.831101022374106E-2</v>
      </c>
      <c r="W30" s="2"/>
      <c r="X30" s="7">
        <f t="shared" si="18"/>
        <v>61.290000000000077</v>
      </c>
      <c r="Y30" s="2"/>
      <c r="Z30" s="8">
        <f t="shared" si="19"/>
        <v>7.1149961691161195E-2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2025.74</v>
      </c>
      <c r="E31" s="2"/>
      <c r="F31" s="8">
        <f t="shared" si="12"/>
        <v>9.6260923583869271E-3</v>
      </c>
      <c r="G31" s="2"/>
      <c r="H31" s="7">
        <v>1852.16</v>
      </c>
      <c r="I31" s="2"/>
      <c r="J31" s="8">
        <f t="shared" si="13"/>
        <v>0.5866835603420969</v>
      </c>
      <c r="K31" s="2"/>
      <c r="L31" s="7">
        <f t="shared" si="14"/>
        <v>173.57999999999993</v>
      </c>
      <c r="M31" s="2"/>
      <c r="N31" s="8">
        <f t="shared" si="15"/>
        <v>9.3717605390462977E-2</v>
      </c>
      <c r="O31" s="11"/>
      <c r="P31" s="7">
        <v>3473.55</v>
      </c>
      <c r="Q31" s="2"/>
      <c r="R31" s="8">
        <f t="shared" si="16"/>
        <v>1.6505925297162966E-2</v>
      </c>
      <c r="S31" s="2"/>
      <c r="T31" s="7">
        <v>3704.32</v>
      </c>
      <c r="U31" s="2"/>
      <c r="V31" s="8">
        <f t="shared" si="17"/>
        <v>0.16474686145203096</v>
      </c>
      <c r="W31" s="2"/>
      <c r="X31" s="7">
        <f t="shared" si="18"/>
        <v>-230.76999999999998</v>
      </c>
      <c r="Y31" s="2"/>
      <c r="Z31" s="8">
        <f t="shared" si="19"/>
        <v>-6.2297533690393911E-2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1239.22</v>
      </c>
      <c r="E32" s="2"/>
      <c r="F32" s="8">
        <f t="shared" si="12"/>
        <v>5.8886363365289957E-3</v>
      </c>
      <c r="G32" s="2"/>
      <c r="H32" s="7">
        <v>1214.78</v>
      </c>
      <c r="I32" s="2"/>
      <c r="J32" s="8">
        <f t="shared" si="13"/>
        <v>0.38478935698447891</v>
      </c>
      <c r="K32" s="2"/>
      <c r="L32" s="7">
        <f t="shared" si="14"/>
        <v>24.440000000000055</v>
      </c>
      <c r="M32" s="2"/>
      <c r="N32" s="8">
        <f t="shared" si="15"/>
        <v>2.0118869260277627E-2</v>
      </c>
      <c r="O32" s="11"/>
      <c r="P32" s="7">
        <v>2089.36</v>
      </c>
      <c r="Q32" s="2"/>
      <c r="R32" s="8">
        <f t="shared" si="16"/>
        <v>9.9284075596667437E-3</v>
      </c>
      <c r="S32" s="2"/>
      <c r="T32" s="7">
        <v>2429.56</v>
      </c>
      <c r="U32" s="2"/>
      <c r="V32" s="8">
        <f t="shared" si="17"/>
        <v>0.10805286387498821</v>
      </c>
      <c r="W32" s="2"/>
      <c r="X32" s="7">
        <f t="shared" si="18"/>
        <v>-340.19999999999982</v>
      </c>
      <c r="Y32" s="2"/>
      <c r="Z32" s="8">
        <f t="shared" si="19"/>
        <v>-0.14002535438515609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480.52</v>
      </c>
      <c r="E33" s="2"/>
      <c r="F33" s="8">
        <f t="shared" si="12"/>
        <v>2.2833778767522416E-3</v>
      </c>
      <c r="G33" s="2"/>
      <c r="H33" s="7">
        <v>658.8</v>
      </c>
      <c r="I33" s="2"/>
      <c r="J33" s="8">
        <f t="shared" si="13"/>
        <v>0.20867912575229647</v>
      </c>
      <c r="K33" s="2"/>
      <c r="L33" s="7">
        <f t="shared" si="14"/>
        <v>-178.27999999999997</v>
      </c>
      <c r="M33" s="2"/>
      <c r="N33" s="8">
        <f t="shared" si="15"/>
        <v>-0.27061323618700667</v>
      </c>
      <c r="O33" s="11"/>
      <c r="P33" s="7">
        <v>1046.8699999999999</v>
      </c>
      <c r="Q33" s="2"/>
      <c r="R33" s="8">
        <f t="shared" si="16"/>
        <v>4.9746104175385393E-3</v>
      </c>
      <c r="S33" s="2"/>
      <c r="T33" s="7">
        <v>1413.2</v>
      </c>
      <c r="U33" s="2"/>
      <c r="V33" s="8">
        <f t="shared" si="17"/>
        <v>6.2851013034513792E-2</v>
      </c>
      <c r="W33" s="2"/>
      <c r="X33" s="7">
        <f t="shared" si="18"/>
        <v>-366.33000000000015</v>
      </c>
      <c r="Y33" s="2"/>
      <c r="Z33" s="8">
        <f t="shared" si="19"/>
        <v>-0.25922020945372215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38013.68</v>
      </c>
      <c r="E34" s="1"/>
      <c r="F34" s="5">
        <f t="shared" ref="F34:F38" si="20">IF(D$12=0,0,D34/D$12)</f>
        <v>0.18063680164392565</v>
      </c>
      <c r="G34" s="1"/>
      <c r="H34" s="1">
        <f>SUM(OSRRefH22_1x_0)</f>
        <v>20940.560000000001</v>
      </c>
      <c r="I34" s="1"/>
      <c r="J34" s="5">
        <f t="shared" ref="J34:J38" si="21">IF(H$12=0,0,H34/H$12)</f>
        <v>6.6330566993981632</v>
      </c>
      <c r="K34" s="1"/>
      <c r="L34" s="1">
        <f t="shared" ref="L34:L38" si="22">+D34-H34</f>
        <v>17073.12</v>
      </c>
      <c r="M34" s="1"/>
      <c r="N34" s="5">
        <f t="shared" ref="N34:N38" si="23">IF(H34=0,0,L34/H34)</f>
        <v>0.81531343956417579</v>
      </c>
      <c r="O34" s="14"/>
      <c r="P34" s="1">
        <f>SUM(OSRRefP22_1x_0)</f>
        <v>56888.95</v>
      </c>
      <c r="Q34" s="1"/>
      <c r="R34" s="5">
        <f t="shared" ref="R34:R38" si="24">IF(P$12=0,0,P34/P$12)</f>
        <v>0.27032999638238664</v>
      </c>
      <c r="S34" s="1"/>
      <c r="T34" s="1">
        <f>SUM(OSRRefT22_1x_0)</f>
        <v>44854.67</v>
      </c>
      <c r="U34" s="1"/>
      <c r="V34" s="5">
        <f t="shared" ref="V34:V38" si="25">IF(T$12=0,0,T34/T$12)</f>
        <v>1.994877900388349</v>
      </c>
      <c r="W34" s="1"/>
      <c r="X34" s="1">
        <f t="shared" ref="X34:X38" si="26">+P34-T34</f>
        <v>12034.279999999999</v>
      </c>
      <c r="Y34" s="1"/>
      <c r="Z34" s="5">
        <f t="shared" ref="Z34:Z38" si="27">IF(T34=0,0,X34/T34)</f>
        <v>0.26829491778670983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10797.37</v>
      </c>
      <c r="E35" s="2"/>
      <c r="F35" s="8">
        <f t="shared" si="20"/>
        <v>5.1307907652352353E-2</v>
      </c>
      <c r="G35" s="2"/>
      <c r="H35" s="7">
        <v>7766.02</v>
      </c>
      <c r="I35" s="2"/>
      <c r="J35" s="8">
        <f t="shared" si="21"/>
        <v>2.4599366487171368</v>
      </c>
      <c r="K35" s="2"/>
      <c r="L35" s="7">
        <f t="shared" si="22"/>
        <v>3031.3500000000004</v>
      </c>
      <c r="M35" s="2"/>
      <c r="N35" s="8">
        <f t="shared" si="23"/>
        <v>0.39033507510925802</v>
      </c>
      <c r="O35" s="11"/>
      <c r="P35" s="7">
        <v>21026.89</v>
      </c>
      <c r="Q35" s="2"/>
      <c r="R35" s="8">
        <f t="shared" si="24"/>
        <v>9.9917454929873764E-2</v>
      </c>
      <c r="S35" s="2"/>
      <c r="T35" s="7">
        <v>18844.240000000002</v>
      </c>
      <c r="U35" s="2"/>
      <c r="V35" s="8">
        <f t="shared" si="25"/>
        <v>0.83808347995011767</v>
      </c>
      <c r="W35" s="2"/>
      <c r="X35" s="7">
        <f t="shared" si="26"/>
        <v>2182.6499999999978</v>
      </c>
      <c r="Y35" s="2"/>
      <c r="Z35" s="8">
        <f t="shared" si="27"/>
        <v>0.11582584386528709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14603.12</v>
      </c>
      <c r="E36" s="2"/>
      <c r="F36" s="8">
        <f t="shared" si="20"/>
        <v>6.9392410595933984E-2</v>
      </c>
      <c r="G36" s="2"/>
      <c r="H36" s="7">
        <v>12044.54</v>
      </c>
      <c r="I36" s="2"/>
      <c r="J36" s="8">
        <f t="shared" si="21"/>
        <v>3.8151853025023761</v>
      </c>
      <c r="K36" s="2"/>
      <c r="L36" s="7">
        <f t="shared" si="22"/>
        <v>2558.58</v>
      </c>
      <c r="M36" s="2"/>
      <c r="N36" s="8">
        <f t="shared" si="23"/>
        <v>0.21242654347945208</v>
      </c>
      <c r="O36" s="11"/>
      <c r="P36" s="7">
        <v>21829.87</v>
      </c>
      <c r="Q36" s="2"/>
      <c r="R36" s="8">
        <f t="shared" si="24"/>
        <v>0.10373312705064816</v>
      </c>
      <c r="S36" s="2"/>
      <c r="T36" s="7">
        <v>22746.43</v>
      </c>
      <c r="U36" s="2"/>
      <c r="V36" s="8">
        <f t="shared" si="25"/>
        <v>1.0116304616605263</v>
      </c>
      <c r="W36" s="2"/>
      <c r="X36" s="7">
        <f t="shared" si="26"/>
        <v>-916.56000000000131</v>
      </c>
      <c r="Y36" s="2"/>
      <c r="Z36" s="8">
        <f t="shared" si="27"/>
        <v>-4.0294674812706932E-2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1423.04</v>
      </c>
      <c r="E37" s="2"/>
      <c r="F37" s="8">
        <f t="shared" si="20"/>
        <v>6.7621286392522883E-3</v>
      </c>
      <c r="G37" s="2"/>
      <c r="H37" s="7"/>
      <c r="I37" s="2"/>
      <c r="J37" s="8">
        <f t="shared" si="21"/>
        <v>0</v>
      </c>
      <c r="K37" s="2"/>
      <c r="L37" s="7">
        <f t="shared" si="22"/>
        <v>1423.04</v>
      </c>
      <c r="M37" s="2"/>
      <c r="N37" s="8">
        <f t="shared" si="23"/>
        <v>0</v>
      </c>
      <c r="O37" s="11"/>
      <c r="P37" s="7">
        <v>1423.04</v>
      </c>
      <c r="Q37" s="2"/>
      <c r="R37" s="8">
        <f t="shared" si="24"/>
        <v>6.7621286392522883E-3</v>
      </c>
      <c r="S37" s="2"/>
      <c r="T37" s="7"/>
      <c r="U37" s="2"/>
      <c r="V37" s="8">
        <f t="shared" si="25"/>
        <v>0</v>
      </c>
      <c r="W37" s="2"/>
      <c r="X37" s="7">
        <f t="shared" si="26"/>
        <v>1423.04</v>
      </c>
      <c r="Y37" s="2"/>
      <c r="Z37" s="8">
        <f t="shared" si="27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11190.15</v>
      </c>
      <c r="E38" s="2"/>
      <c r="F38" s="8">
        <f t="shared" si="20"/>
        <v>5.3174354756387029E-2</v>
      </c>
      <c r="G38" s="2"/>
      <c r="H38" s="7">
        <v>1130</v>
      </c>
      <c r="I38" s="2"/>
      <c r="J38" s="8">
        <f t="shared" si="21"/>
        <v>0.35793474817865062</v>
      </c>
      <c r="K38" s="2"/>
      <c r="L38" s="7">
        <f t="shared" si="22"/>
        <v>10060.15</v>
      </c>
      <c r="M38" s="2"/>
      <c r="N38" s="8">
        <f t="shared" si="23"/>
        <v>8.9027876106194679</v>
      </c>
      <c r="O38" s="11"/>
      <c r="P38" s="7">
        <v>12609.15</v>
      </c>
      <c r="Q38" s="2"/>
      <c r="R38" s="8">
        <f t="shared" si="24"/>
        <v>5.9917285762612432E-2</v>
      </c>
      <c r="S38" s="2"/>
      <c r="T38" s="7">
        <v>3264</v>
      </c>
      <c r="U38" s="2"/>
      <c r="V38" s="8">
        <f t="shared" si="25"/>
        <v>0.14516395877770522</v>
      </c>
      <c r="W38" s="2"/>
      <c r="X38" s="7">
        <f t="shared" si="26"/>
        <v>9345.15</v>
      </c>
      <c r="Y38" s="2"/>
      <c r="Z38" s="8">
        <f t="shared" si="27"/>
        <v>2.863097426470588</v>
      </c>
    </row>
    <row r="39" spans="1:26" s="28" customFormat="1" outlineLevel="1" collapsed="1" x14ac:dyDescent="0.3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624.66</v>
      </c>
      <c r="E39" s="1"/>
      <c r="F39" s="5">
        <f t="shared" ref="F39:F60" si="28">IF(D$12=0,0,D39/D$12)</f>
        <v>2.9683152095481046E-3</v>
      </c>
      <c r="G39" s="1"/>
      <c r="H39" s="1">
        <f>SUM(OSRRefH22_2x_0)</f>
        <v>0</v>
      </c>
      <c r="I39" s="1"/>
      <c r="J39" s="5">
        <f t="shared" ref="J39:J60" si="29">IF(H$12=0,0,H39/H$12)</f>
        <v>0</v>
      </c>
      <c r="K39" s="1"/>
      <c r="L39" s="1">
        <f t="shared" ref="L39:L60" si="30">+D39-H39</f>
        <v>624.66</v>
      </c>
      <c r="M39" s="1"/>
      <c r="N39" s="5">
        <f t="shared" ref="N39:N60" si="31">IF(H39=0,0,L39/H39)</f>
        <v>0</v>
      </c>
      <c r="O39" s="14"/>
      <c r="P39" s="1">
        <f>SUM(OSRRefP22_2x_0)</f>
        <v>664.97</v>
      </c>
      <c r="Q39" s="1"/>
      <c r="R39" s="5">
        <f t="shared" ref="R39:R60" si="32">IF(P$12=0,0,P39/P$12)</f>
        <v>3.1598638697742823E-3</v>
      </c>
      <c r="S39" s="1"/>
      <c r="T39" s="1">
        <f>SUM(OSRRefT22_2x_0)</f>
        <v>204.75</v>
      </c>
      <c r="U39" s="1"/>
      <c r="V39" s="5">
        <f t="shared" ref="V39:V60" si="33">IF(T$12=0,0,T39/T$12)</f>
        <v>9.1061031126639536E-3</v>
      </c>
      <c r="W39" s="1"/>
      <c r="X39" s="1">
        <f t="shared" ref="X39:X60" si="34">+P39-T39</f>
        <v>460.22</v>
      </c>
      <c r="Y39" s="1"/>
      <c r="Z39" s="5">
        <f t="shared" ref="Z39:Z60" si="35">IF(T39=0,0,X39/T39)</f>
        <v>2.2477167277167278</v>
      </c>
    </row>
    <row r="40" spans="1:26" s="24" customFormat="1" hidden="1" outlineLevel="2" x14ac:dyDescent="0.3">
      <c r="A40" s="27"/>
      <c r="B40" s="11" t="str">
        <f>CONCATENATE("          ", "6362", " - ", "ADVERTISING EXPENSE")</f>
        <v xml:space="preserve">          6362 - ADVERTISING EXPENSE</v>
      </c>
      <c r="C40" s="11"/>
      <c r="D40" s="7">
        <v>624.66</v>
      </c>
      <c r="E40" s="2"/>
      <c r="F40" s="8">
        <f t="shared" si="28"/>
        <v>2.9683152095481046E-3</v>
      </c>
      <c r="G40" s="2"/>
      <c r="H40" s="7"/>
      <c r="I40" s="2"/>
      <c r="J40" s="8">
        <f t="shared" si="29"/>
        <v>0</v>
      </c>
      <c r="K40" s="2"/>
      <c r="L40" s="7">
        <f t="shared" si="30"/>
        <v>624.66</v>
      </c>
      <c r="M40" s="2"/>
      <c r="N40" s="8">
        <f t="shared" si="31"/>
        <v>0</v>
      </c>
      <c r="O40" s="11"/>
      <c r="P40" s="7">
        <v>664.97</v>
      </c>
      <c r="Q40" s="2"/>
      <c r="R40" s="8">
        <f t="shared" si="32"/>
        <v>3.1598638697742823E-3</v>
      </c>
      <c r="S40" s="2"/>
      <c r="T40" s="7">
        <v>204.75</v>
      </c>
      <c r="U40" s="2"/>
      <c r="V40" s="8">
        <f t="shared" si="33"/>
        <v>9.1061031126639536E-3</v>
      </c>
      <c r="W40" s="2"/>
      <c r="X40" s="7">
        <f t="shared" si="34"/>
        <v>460.22</v>
      </c>
      <c r="Y40" s="2"/>
      <c r="Z40" s="8">
        <f t="shared" si="35"/>
        <v>2.2477167277167278</v>
      </c>
    </row>
    <row r="41" spans="1:26" s="28" customFormat="1" outlineLevel="1" collapsed="1" x14ac:dyDescent="0.3">
      <c r="A41" s="29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0</v>
      </c>
      <c r="E41" s="1"/>
      <c r="F41" s="5">
        <f t="shared" si="28"/>
        <v>0</v>
      </c>
      <c r="G41" s="1"/>
      <c r="H41" s="1">
        <f>SUM(OSRRefH22_3x_0)</f>
        <v>0</v>
      </c>
      <c r="I41" s="1"/>
      <c r="J41" s="5">
        <f t="shared" si="29"/>
        <v>0</v>
      </c>
      <c r="K41" s="1"/>
      <c r="L41" s="1">
        <f t="shared" si="30"/>
        <v>0</v>
      </c>
      <c r="M41" s="1"/>
      <c r="N41" s="5">
        <f t="shared" si="31"/>
        <v>0</v>
      </c>
      <c r="O41" s="14"/>
      <c r="P41" s="1">
        <f>SUM(OSRRefP22_3x_0)</f>
        <v>0</v>
      </c>
      <c r="Q41" s="1"/>
      <c r="R41" s="5">
        <f t="shared" si="32"/>
        <v>0</v>
      </c>
      <c r="S41" s="1"/>
      <c r="T41" s="1">
        <f>SUM(OSRRefT22_3x_0)</f>
        <v>0</v>
      </c>
      <c r="U41" s="1"/>
      <c r="V41" s="5">
        <f t="shared" si="33"/>
        <v>0</v>
      </c>
      <c r="W41" s="1"/>
      <c r="X41" s="1">
        <f t="shared" si="34"/>
        <v>0</v>
      </c>
      <c r="Y41" s="1"/>
      <c r="Z41" s="5">
        <f t="shared" si="35"/>
        <v>0</v>
      </c>
    </row>
    <row r="42" spans="1:26" s="24" customFormat="1" hidden="1" outlineLevel="2" x14ac:dyDescent="0.3">
      <c r="A42" s="27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8">
        <f t="shared" si="28"/>
        <v>0</v>
      </c>
      <c r="G42" s="2"/>
      <c r="H42" s="7"/>
      <c r="I42" s="2"/>
      <c r="J42" s="8">
        <f t="shared" si="29"/>
        <v>0</v>
      </c>
      <c r="K42" s="2"/>
      <c r="L42" s="7">
        <f t="shared" si="30"/>
        <v>0</v>
      </c>
      <c r="M42" s="2"/>
      <c r="N42" s="8">
        <f t="shared" si="31"/>
        <v>0</v>
      </c>
      <c r="O42" s="11"/>
      <c r="P42" s="7"/>
      <c r="Q42" s="2"/>
      <c r="R42" s="8">
        <f t="shared" si="32"/>
        <v>0</v>
      </c>
      <c r="S42" s="2"/>
      <c r="T42" s="7">
        <v>0</v>
      </c>
      <c r="U42" s="2"/>
      <c r="V42" s="8">
        <f t="shared" si="33"/>
        <v>0</v>
      </c>
      <c r="W42" s="2"/>
      <c r="X42" s="7">
        <f t="shared" si="34"/>
        <v>0</v>
      </c>
      <c r="Y42" s="2"/>
      <c r="Z42" s="8">
        <f t="shared" si="35"/>
        <v>0</v>
      </c>
    </row>
    <row r="43" spans="1:26" s="28" customFormat="1" outlineLevel="1" collapsed="1" x14ac:dyDescent="0.3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40.549999999999997</v>
      </c>
      <c r="E43" s="1"/>
      <c r="F43" s="5">
        <f t="shared" si="28"/>
        <v>1.926891136733193E-4</v>
      </c>
      <c r="G43" s="1"/>
      <c r="H43" s="1">
        <f>SUM(OSRRefH22_4x_0)</f>
        <v>0</v>
      </c>
      <c r="I43" s="1"/>
      <c r="J43" s="5">
        <f t="shared" si="29"/>
        <v>0</v>
      </c>
      <c r="K43" s="1"/>
      <c r="L43" s="1">
        <f t="shared" si="30"/>
        <v>40.549999999999997</v>
      </c>
      <c r="M43" s="1"/>
      <c r="N43" s="5">
        <f t="shared" si="31"/>
        <v>0</v>
      </c>
      <c r="O43" s="14"/>
      <c r="P43" s="1">
        <f>SUM(OSRRefP22_4x_0)</f>
        <v>40.549999999999997</v>
      </c>
      <c r="Q43" s="1"/>
      <c r="R43" s="5">
        <f t="shared" si="32"/>
        <v>1.926891136733193E-4</v>
      </c>
      <c r="S43" s="1"/>
      <c r="T43" s="1">
        <f>SUM(OSRRefT22_4x_0)</f>
        <v>0</v>
      </c>
      <c r="U43" s="1"/>
      <c r="V43" s="5">
        <f t="shared" si="33"/>
        <v>0</v>
      </c>
      <c r="W43" s="1"/>
      <c r="X43" s="1">
        <f t="shared" si="34"/>
        <v>40.549999999999997</v>
      </c>
      <c r="Y43" s="1"/>
      <c r="Z43" s="5">
        <f t="shared" si="35"/>
        <v>0</v>
      </c>
    </row>
    <row r="44" spans="1:26" s="24" customFormat="1" hidden="1" outlineLevel="2" x14ac:dyDescent="0.3">
      <c r="A44" s="27"/>
      <c r="B44" s="11" t="str">
        <f>CONCATENATE("          ", "6381", " - ", "BANK/CREDIT CARD FEES")</f>
        <v xml:space="preserve">          6381 - BANK/CREDIT CARD FEES</v>
      </c>
      <c r="C44" s="11"/>
      <c r="D44" s="7">
        <v>40.549999999999997</v>
      </c>
      <c r="E44" s="2"/>
      <c r="F44" s="8">
        <f t="shared" si="28"/>
        <v>1.926891136733193E-4</v>
      </c>
      <c r="G44" s="2"/>
      <c r="H44" s="7"/>
      <c r="I44" s="2"/>
      <c r="J44" s="8">
        <f t="shared" si="29"/>
        <v>0</v>
      </c>
      <c r="K44" s="2"/>
      <c r="L44" s="7">
        <f t="shared" si="30"/>
        <v>40.549999999999997</v>
      </c>
      <c r="M44" s="2"/>
      <c r="N44" s="8">
        <f t="shared" si="31"/>
        <v>0</v>
      </c>
      <c r="O44" s="11"/>
      <c r="P44" s="7">
        <v>40.549999999999997</v>
      </c>
      <c r="Q44" s="2"/>
      <c r="R44" s="8">
        <f t="shared" si="32"/>
        <v>1.926891136733193E-4</v>
      </c>
      <c r="S44" s="2"/>
      <c r="T44" s="7"/>
      <c r="U44" s="2"/>
      <c r="V44" s="8">
        <f t="shared" si="33"/>
        <v>0</v>
      </c>
      <c r="W44" s="2"/>
      <c r="X44" s="7">
        <f t="shared" si="34"/>
        <v>40.549999999999997</v>
      </c>
      <c r="Y44" s="2"/>
      <c r="Z44" s="8">
        <f t="shared" si="35"/>
        <v>0</v>
      </c>
    </row>
    <row r="45" spans="1:26" s="28" customFormat="1" outlineLevel="1" collapsed="1" x14ac:dyDescent="0.3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273.51</v>
      </c>
      <c r="E45" s="1"/>
      <c r="F45" s="5">
        <f t="shared" si="28"/>
        <v>1.2996892596988795E-3</v>
      </c>
      <c r="G45" s="1"/>
      <c r="H45" s="1">
        <f>SUM(OSRRefH22_5x_0)</f>
        <v>281.26</v>
      </c>
      <c r="I45" s="1"/>
      <c r="J45" s="5">
        <f t="shared" si="29"/>
        <v>8.9090909090909082E-2</v>
      </c>
      <c r="K45" s="1"/>
      <c r="L45" s="1">
        <f t="shared" si="30"/>
        <v>-7.75</v>
      </c>
      <c r="M45" s="1"/>
      <c r="N45" s="5">
        <f t="shared" si="31"/>
        <v>-2.7554575837303565E-2</v>
      </c>
      <c r="O45" s="14"/>
      <c r="P45" s="1">
        <f>SUM(OSRRefP22_5x_0)</f>
        <v>547.02</v>
      </c>
      <c r="Q45" s="1"/>
      <c r="R45" s="5">
        <f t="shared" si="32"/>
        <v>2.599378519397759E-3</v>
      </c>
      <c r="S45" s="1"/>
      <c r="T45" s="1">
        <f>SUM(OSRRefT22_5x_0)</f>
        <v>281.26</v>
      </c>
      <c r="U45" s="1"/>
      <c r="V45" s="5">
        <f t="shared" si="33"/>
        <v>1.2508828139037184E-2</v>
      </c>
      <c r="W45" s="1"/>
      <c r="X45" s="1">
        <f t="shared" si="34"/>
        <v>265.76</v>
      </c>
      <c r="Y45" s="1"/>
      <c r="Z45" s="5">
        <f t="shared" si="35"/>
        <v>0.94489084832539283</v>
      </c>
    </row>
    <row r="46" spans="1:26" s="24" customFormat="1" hidden="1" outlineLevel="2" x14ac:dyDescent="0.3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273.51</v>
      </c>
      <c r="E46" s="2"/>
      <c r="F46" s="8">
        <f t="shared" si="28"/>
        <v>1.2996892596988795E-3</v>
      </c>
      <c r="G46" s="2"/>
      <c r="H46" s="7">
        <v>281.26</v>
      </c>
      <c r="I46" s="2"/>
      <c r="J46" s="8">
        <f t="shared" si="29"/>
        <v>8.9090909090909082E-2</v>
      </c>
      <c r="K46" s="2"/>
      <c r="L46" s="7">
        <f t="shared" si="30"/>
        <v>-7.75</v>
      </c>
      <c r="M46" s="2"/>
      <c r="N46" s="8">
        <f t="shared" si="31"/>
        <v>-2.7554575837303565E-2</v>
      </c>
      <c r="O46" s="11"/>
      <c r="P46" s="7">
        <v>547.02</v>
      </c>
      <c r="Q46" s="2"/>
      <c r="R46" s="8">
        <f t="shared" si="32"/>
        <v>2.599378519397759E-3</v>
      </c>
      <c r="S46" s="2"/>
      <c r="T46" s="7">
        <v>281.26</v>
      </c>
      <c r="U46" s="2"/>
      <c r="V46" s="8">
        <f t="shared" si="33"/>
        <v>1.2508828139037184E-2</v>
      </c>
      <c r="W46" s="2"/>
      <c r="X46" s="7">
        <f t="shared" si="34"/>
        <v>265.76</v>
      </c>
      <c r="Y46" s="2"/>
      <c r="Z46" s="8">
        <f t="shared" si="35"/>
        <v>0.94489084832539283</v>
      </c>
    </row>
    <row r="47" spans="1:26" s="28" customFormat="1" outlineLevel="1" collapsed="1" x14ac:dyDescent="0.3">
      <c r="A47" s="29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SUM(OSRRefD22_6x_0)</f>
        <v>2140.41</v>
      </c>
      <c r="E47" s="1"/>
      <c r="F47" s="5">
        <f t="shared" si="28"/>
        <v>1.0170991511652511E-2</v>
      </c>
      <c r="G47" s="1"/>
      <c r="H47" s="1">
        <f>SUM(OSRRefH22_6x_0)</f>
        <v>0</v>
      </c>
      <c r="I47" s="1"/>
      <c r="J47" s="5">
        <f t="shared" si="29"/>
        <v>0</v>
      </c>
      <c r="K47" s="1"/>
      <c r="L47" s="1">
        <f t="shared" si="30"/>
        <v>2140.41</v>
      </c>
      <c r="M47" s="1"/>
      <c r="N47" s="5">
        <f t="shared" si="31"/>
        <v>0</v>
      </c>
      <c r="O47" s="14"/>
      <c r="P47" s="1">
        <f>SUM(OSRRefP22_6x_0)</f>
        <v>2140.41</v>
      </c>
      <c r="Q47" s="1"/>
      <c r="R47" s="5">
        <f t="shared" si="32"/>
        <v>1.0170991511652511E-2</v>
      </c>
      <c r="S47" s="1"/>
      <c r="T47" s="1">
        <f>SUM(OSRRefT22_6x_0)</f>
        <v>0</v>
      </c>
      <c r="U47" s="1"/>
      <c r="V47" s="5">
        <f t="shared" si="33"/>
        <v>0</v>
      </c>
      <c r="W47" s="1"/>
      <c r="X47" s="1">
        <f t="shared" si="34"/>
        <v>2140.41</v>
      </c>
      <c r="Y47" s="1"/>
      <c r="Z47" s="5">
        <f t="shared" si="35"/>
        <v>0</v>
      </c>
    </row>
    <row r="48" spans="1:26" s="24" customFormat="1" hidden="1" outlineLevel="2" x14ac:dyDescent="0.3">
      <c r="A48" s="27"/>
      <c r="B48" s="11" t="str">
        <f>CONCATENATE("          ", "6399", " - ", "DONATION-ON CAMPUS")</f>
        <v xml:space="preserve">          6399 - DONATION-ON CAMPUS</v>
      </c>
      <c r="C48" s="11"/>
      <c r="D48" s="7">
        <v>2140.41</v>
      </c>
      <c r="E48" s="2"/>
      <c r="F48" s="8">
        <f t="shared" si="28"/>
        <v>1.0170991511652511E-2</v>
      </c>
      <c r="G48" s="2"/>
      <c r="H48" s="7"/>
      <c r="I48" s="2"/>
      <c r="J48" s="8">
        <f t="shared" si="29"/>
        <v>0</v>
      </c>
      <c r="K48" s="2"/>
      <c r="L48" s="7">
        <f t="shared" si="30"/>
        <v>2140.41</v>
      </c>
      <c r="M48" s="2"/>
      <c r="N48" s="8">
        <f t="shared" si="31"/>
        <v>0</v>
      </c>
      <c r="O48" s="11"/>
      <c r="P48" s="7">
        <v>2140.41</v>
      </c>
      <c r="Q48" s="2"/>
      <c r="R48" s="8">
        <f t="shared" si="32"/>
        <v>1.0170991511652511E-2</v>
      </c>
      <c r="S48" s="2"/>
      <c r="T48" s="7"/>
      <c r="U48" s="2"/>
      <c r="V48" s="8">
        <f t="shared" si="33"/>
        <v>0</v>
      </c>
      <c r="W48" s="2"/>
      <c r="X48" s="7">
        <f t="shared" si="34"/>
        <v>2140.41</v>
      </c>
      <c r="Y48" s="2"/>
      <c r="Z48" s="8">
        <f t="shared" si="35"/>
        <v>0</v>
      </c>
    </row>
    <row r="49" spans="1:26" s="28" customFormat="1" outlineLevel="1" collapsed="1" x14ac:dyDescent="0.3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3767.24</v>
      </c>
      <c r="E49" s="1"/>
      <c r="F49" s="5">
        <f t="shared" si="28"/>
        <v>1.7901507684209009E-2</v>
      </c>
      <c r="G49" s="1"/>
      <c r="H49" s="1">
        <f>SUM(OSRRefH22_7x_0)</f>
        <v>312.27</v>
      </c>
      <c r="I49" s="1"/>
      <c r="J49" s="5">
        <f t="shared" si="29"/>
        <v>9.8913525498891347E-2</v>
      </c>
      <c r="K49" s="1"/>
      <c r="L49" s="1">
        <f t="shared" si="30"/>
        <v>3454.97</v>
      </c>
      <c r="M49" s="1"/>
      <c r="N49" s="5">
        <f t="shared" si="31"/>
        <v>11.064047138694079</v>
      </c>
      <c r="O49" s="14"/>
      <c r="P49" s="1">
        <f>SUM(OSRRefP22_7x_0)</f>
        <v>4197.67</v>
      </c>
      <c r="Q49" s="1"/>
      <c r="R49" s="5">
        <f t="shared" si="32"/>
        <v>1.9946863422764052E-2</v>
      </c>
      <c r="S49" s="1"/>
      <c r="T49" s="1">
        <f>SUM(OSRRefT22_7x_0)</f>
        <v>486.22</v>
      </c>
      <c r="U49" s="1"/>
      <c r="V49" s="5">
        <f t="shared" si="33"/>
        <v>2.1624270844637205E-2</v>
      </c>
      <c r="W49" s="1"/>
      <c r="X49" s="1">
        <f t="shared" si="34"/>
        <v>3711.45</v>
      </c>
      <c r="Y49" s="1"/>
      <c r="Z49" s="5">
        <f t="shared" si="35"/>
        <v>7.633273003989963</v>
      </c>
    </row>
    <row r="50" spans="1:26" s="24" customFormat="1" hidden="1" outlineLevel="2" x14ac:dyDescent="0.3">
      <c r="A50" s="27"/>
      <c r="B50" s="11" t="str">
        <f>CONCATENATE("          ", "6351", " - ", "EQUIPMENT RENTAL")</f>
        <v xml:space="preserve">          6351 - EQUIPMENT RENTAL</v>
      </c>
      <c r="C50" s="11"/>
      <c r="D50" s="7">
        <v>3767.24</v>
      </c>
      <c r="E50" s="2"/>
      <c r="F50" s="8">
        <f t="shared" si="28"/>
        <v>1.7901507684209009E-2</v>
      </c>
      <c r="G50" s="2"/>
      <c r="H50" s="7">
        <v>312.27</v>
      </c>
      <c r="I50" s="2"/>
      <c r="J50" s="8">
        <f t="shared" si="29"/>
        <v>9.8913525498891347E-2</v>
      </c>
      <c r="K50" s="2"/>
      <c r="L50" s="7">
        <f t="shared" si="30"/>
        <v>3454.97</v>
      </c>
      <c r="M50" s="2"/>
      <c r="N50" s="8">
        <f t="shared" si="31"/>
        <v>11.064047138694079</v>
      </c>
      <c r="O50" s="11"/>
      <c r="P50" s="7">
        <v>4197.67</v>
      </c>
      <c r="Q50" s="2"/>
      <c r="R50" s="8">
        <f t="shared" si="32"/>
        <v>1.9946863422764052E-2</v>
      </c>
      <c r="S50" s="2"/>
      <c r="T50" s="7">
        <v>486.22</v>
      </c>
      <c r="U50" s="2"/>
      <c r="V50" s="8">
        <f t="shared" si="33"/>
        <v>2.1624270844637205E-2</v>
      </c>
      <c r="W50" s="2"/>
      <c r="X50" s="7">
        <f t="shared" si="34"/>
        <v>3711.45</v>
      </c>
      <c r="Y50" s="2"/>
      <c r="Z50" s="8">
        <f t="shared" si="35"/>
        <v>7.633273003989963</v>
      </c>
    </row>
    <row r="51" spans="1:26" s="28" customFormat="1" outlineLevel="1" collapsed="1" x14ac:dyDescent="0.3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2334.5500000000002</v>
      </c>
      <c r="E51" s="1"/>
      <c r="F51" s="5">
        <f t="shared" si="28"/>
        <v>1.1093523312602901E-2</v>
      </c>
      <c r="G51" s="1"/>
      <c r="H51" s="1">
        <f>SUM(OSRRefH22_8x_0)</f>
        <v>80.650000000000006</v>
      </c>
      <c r="I51" s="1"/>
      <c r="J51" s="5">
        <f t="shared" si="29"/>
        <v>2.5546404814697499E-2</v>
      </c>
      <c r="K51" s="1"/>
      <c r="L51" s="1">
        <f t="shared" si="30"/>
        <v>2253.9</v>
      </c>
      <c r="M51" s="1"/>
      <c r="N51" s="5">
        <f t="shared" si="31"/>
        <v>27.94668319900806</v>
      </c>
      <c r="O51" s="14"/>
      <c r="P51" s="1">
        <f>SUM(OSRRefP22_8x_0)</f>
        <v>2404.62</v>
      </c>
      <c r="Q51" s="1"/>
      <c r="R51" s="5">
        <f t="shared" si="32"/>
        <v>1.142648820027465E-2</v>
      </c>
      <c r="S51" s="1"/>
      <c r="T51" s="1">
        <f>SUM(OSRRefT22_8x_0)</f>
        <v>3500.2</v>
      </c>
      <c r="U51" s="1"/>
      <c r="V51" s="5">
        <f t="shared" si="33"/>
        <v>0.15566877711817517</v>
      </c>
      <c r="W51" s="1"/>
      <c r="X51" s="1">
        <f t="shared" si="34"/>
        <v>-1095.58</v>
      </c>
      <c r="Y51" s="1"/>
      <c r="Z51" s="5">
        <f t="shared" si="35"/>
        <v>-0.31300497114450604</v>
      </c>
    </row>
    <row r="52" spans="1:26" s="24" customFormat="1" hidden="1" outlineLevel="2" x14ac:dyDescent="0.3">
      <c r="A52" s="27"/>
      <c r="B52" s="11" t="str">
        <f>CONCATENATE("          ", "6279", " - ", "GENERAL EXPENSE")</f>
        <v xml:space="preserve">          6279 - GENERAL EXPENSE</v>
      </c>
      <c r="C52" s="11"/>
      <c r="D52" s="7">
        <v>2334.5500000000002</v>
      </c>
      <c r="E52" s="2"/>
      <c r="F52" s="8">
        <f t="shared" si="28"/>
        <v>1.1093523312602901E-2</v>
      </c>
      <c r="G52" s="2"/>
      <c r="H52" s="7">
        <v>80.650000000000006</v>
      </c>
      <c r="I52" s="2"/>
      <c r="J52" s="8">
        <f t="shared" si="29"/>
        <v>2.5546404814697499E-2</v>
      </c>
      <c r="K52" s="2"/>
      <c r="L52" s="7">
        <f t="shared" si="30"/>
        <v>2253.9</v>
      </c>
      <c r="M52" s="2"/>
      <c r="N52" s="8">
        <f t="shared" si="31"/>
        <v>27.94668319900806</v>
      </c>
      <c r="O52" s="11"/>
      <c r="P52" s="7">
        <v>2404.62</v>
      </c>
      <c r="Q52" s="2"/>
      <c r="R52" s="8">
        <f t="shared" si="32"/>
        <v>1.142648820027465E-2</v>
      </c>
      <c r="S52" s="2"/>
      <c r="T52" s="7">
        <v>3500.2</v>
      </c>
      <c r="U52" s="2"/>
      <c r="V52" s="8">
        <f t="shared" si="33"/>
        <v>0.15566877711817517</v>
      </c>
      <c r="W52" s="2"/>
      <c r="X52" s="7">
        <f t="shared" si="34"/>
        <v>-1095.58</v>
      </c>
      <c r="Y52" s="2"/>
      <c r="Z52" s="8">
        <f t="shared" si="35"/>
        <v>-0.31300497114450604</v>
      </c>
    </row>
    <row r="53" spans="1:26" s="28" customFormat="1" outlineLevel="1" collapsed="1" x14ac:dyDescent="0.3">
      <c r="A53" s="29"/>
      <c r="B53" s="14" t="str">
        <f>CONCATENATE("     ","R/H Commissions                                   ")</f>
        <v xml:space="preserve">     R/H Commissions                                   </v>
      </c>
      <c r="C53" s="14"/>
      <c r="D53" s="1">
        <f>SUM(OSRRefD22_9x_0)</f>
        <v>16664.169999999998</v>
      </c>
      <c r="E53" s="1"/>
      <c r="F53" s="5">
        <f t="shared" si="28"/>
        <v>7.9186292167731612E-2</v>
      </c>
      <c r="G53" s="1"/>
      <c r="H53" s="1">
        <f>SUM(OSRRefH22_9x_0)</f>
        <v>144</v>
      </c>
      <c r="I53" s="1"/>
      <c r="J53" s="5">
        <f t="shared" si="29"/>
        <v>4.5612923661704149E-2</v>
      </c>
      <c r="K53" s="1"/>
      <c r="L53" s="1">
        <f t="shared" si="30"/>
        <v>16520.169999999998</v>
      </c>
      <c r="M53" s="1"/>
      <c r="N53" s="5">
        <f t="shared" si="31"/>
        <v>114.72340277777776</v>
      </c>
      <c r="O53" s="14"/>
      <c r="P53" s="1">
        <f>SUM(OSRRefP22_9x_0)</f>
        <v>16664.169999999998</v>
      </c>
      <c r="Q53" s="1"/>
      <c r="R53" s="5">
        <f t="shared" si="32"/>
        <v>7.9186292167731612E-2</v>
      </c>
      <c r="S53" s="1"/>
      <c r="T53" s="1">
        <f>SUM(OSRRefT22_9x_0)</f>
        <v>1295.68</v>
      </c>
      <c r="U53" s="1"/>
      <c r="V53" s="5">
        <f t="shared" si="33"/>
        <v>5.7624398930483184E-2</v>
      </c>
      <c r="W53" s="1"/>
      <c r="X53" s="1">
        <f t="shared" si="34"/>
        <v>15368.489999999998</v>
      </c>
      <c r="Y53" s="1"/>
      <c r="Z53" s="5">
        <f t="shared" si="35"/>
        <v>11.861331501605333</v>
      </c>
    </row>
    <row r="54" spans="1:26" s="24" customFormat="1" hidden="1" outlineLevel="2" x14ac:dyDescent="0.3">
      <c r="A54" s="27"/>
      <c r="B54" s="11" t="str">
        <f>CONCATENATE("          ", "6387", " - ", "COMMISSION DUE HOUSING")</f>
        <v xml:space="preserve">          6387 - COMMISSION DUE HOUSING</v>
      </c>
      <c r="C54" s="11"/>
      <c r="D54" s="7">
        <v>16664.169999999998</v>
      </c>
      <c r="E54" s="2"/>
      <c r="F54" s="8">
        <f t="shared" si="28"/>
        <v>7.9186292167731612E-2</v>
      </c>
      <c r="G54" s="2"/>
      <c r="H54" s="7">
        <v>144</v>
      </c>
      <c r="I54" s="2"/>
      <c r="J54" s="8">
        <f t="shared" si="29"/>
        <v>4.5612923661704149E-2</v>
      </c>
      <c r="K54" s="2"/>
      <c r="L54" s="7">
        <f t="shared" si="30"/>
        <v>16520.169999999998</v>
      </c>
      <c r="M54" s="2"/>
      <c r="N54" s="8">
        <f t="shared" si="31"/>
        <v>114.72340277777776</v>
      </c>
      <c r="O54" s="11"/>
      <c r="P54" s="7">
        <v>16664.169999999998</v>
      </c>
      <c r="Q54" s="2"/>
      <c r="R54" s="8">
        <f t="shared" si="32"/>
        <v>7.9186292167731612E-2</v>
      </c>
      <c r="S54" s="2"/>
      <c r="T54" s="7">
        <v>1295.68</v>
      </c>
      <c r="U54" s="2"/>
      <c r="V54" s="8">
        <f t="shared" si="33"/>
        <v>5.7624398930483184E-2</v>
      </c>
      <c r="W54" s="2"/>
      <c r="X54" s="7">
        <f t="shared" si="34"/>
        <v>15368.489999999998</v>
      </c>
      <c r="Y54" s="2"/>
      <c r="Z54" s="8">
        <f t="shared" si="35"/>
        <v>11.861331501605333</v>
      </c>
    </row>
    <row r="55" spans="1:26" s="28" customFormat="1" outlineLevel="1" collapsed="1" x14ac:dyDescent="0.3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SUM(OSRRefD22_10x_0)</f>
        <v>0</v>
      </c>
      <c r="E55" s="1"/>
      <c r="F55" s="5">
        <f t="shared" si="28"/>
        <v>0</v>
      </c>
      <c r="G55" s="1"/>
      <c r="H55" s="1">
        <f>SUM(OSRRefH22_10x_0)</f>
        <v>1085.0999999999999</v>
      </c>
      <c r="I55" s="1"/>
      <c r="J55" s="5">
        <f t="shared" si="29"/>
        <v>0.34371238517579977</v>
      </c>
      <c r="K55" s="1"/>
      <c r="L55" s="1">
        <f t="shared" si="30"/>
        <v>-1085.0999999999999</v>
      </c>
      <c r="M55" s="1"/>
      <c r="N55" s="5">
        <f t="shared" si="31"/>
        <v>-1</v>
      </c>
      <c r="O55" s="14"/>
      <c r="P55" s="1">
        <f>SUM(OSRRefP22_10x_0)</f>
        <v>0</v>
      </c>
      <c r="Q55" s="1"/>
      <c r="R55" s="5">
        <f t="shared" si="32"/>
        <v>0</v>
      </c>
      <c r="S55" s="1"/>
      <c r="T55" s="1">
        <f>SUM(OSRRefT22_10x_0)</f>
        <v>1085.0999999999999</v>
      </c>
      <c r="U55" s="1"/>
      <c r="V55" s="5">
        <f t="shared" si="33"/>
        <v>4.8259010928213213E-2</v>
      </c>
      <c r="W55" s="1"/>
      <c r="X55" s="1">
        <f t="shared" si="34"/>
        <v>-1085.0999999999999</v>
      </c>
      <c r="Y55" s="1"/>
      <c r="Z55" s="5">
        <f t="shared" si="35"/>
        <v>-1</v>
      </c>
    </row>
    <row r="56" spans="1:26" s="24" customFormat="1" hidden="1" outlineLevel="2" x14ac:dyDescent="0.3">
      <c r="A56" s="27"/>
      <c r="B56" s="11" t="str">
        <f>CONCATENATE("          ", "6373", " - ", "MAINTENANCE CONTRACTS")</f>
        <v xml:space="preserve">          6373 - MAINTENANCE CONTRACTS</v>
      </c>
      <c r="C56" s="11"/>
      <c r="D56" s="7"/>
      <c r="E56" s="2"/>
      <c r="F56" s="8">
        <f t="shared" si="28"/>
        <v>0</v>
      </c>
      <c r="G56" s="2"/>
      <c r="H56" s="7">
        <v>1085.0999999999999</v>
      </c>
      <c r="I56" s="2"/>
      <c r="J56" s="8">
        <f t="shared" si="29"/>
        <v>0.34371238517579977</v>
      </c>
      <c r="K56" s="2"/>
      <c r="L56" s="7">
        <f t="shared" si="30"/>
        <v>-1085.0999999999999</v>
      </c>
      <c r="M56" s="2"/>
      <c r="N56" s="8">
        <f t="shared" si="31"/>
        <v>-1</v>
      </c>
      <c r="O56" s="11"/>
      <c r="P56" s="7"/>
      <c r="Q56" s="2"/>
      <c r="R56" s="8">
        <f t="shared" si="32"/>
        <v>0</v>
      </c>
      <c r="S56" s="2"/>
      <c r="T56" s="7">
        <v>1085.0999999999999</v>
      </c>
      <c r="U56" s="2"/>
      <c r="V56" s="8">
        <f t="shared" si="33"/>
        <v>4.8259010928213213E-2</v>
      </c>
      <c r="W56" s="2"/>
      <c r="X56" s="7">
        <f t="shared" si="34"/>
        <v>-1085.0999999999999</v>
      </c>
      <c r="Y56" s="2"/>
      <c r="Z56" s="8">
        <f t="shared" si="35"/>
        <v>-1</v>
      </c>
    </row>
    <row r="57" spans="1:26" s="28" customFormat="1" outlineLevel="1" collapsed="1" x14ac:dyDescent="0.3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5570.37</v>
      </c>
      <c r="E57" s="1"/>
      <c r="F57" s="5">
        <f t="shared" si="28"/>
        <v>2.6469781951478363E-2</v>
      </c>
      <c r="G57" s="1"/>
      <c r="H57" s="1">
        <f>SUM(OSRRefH22_11x_0)</f>
        <v>6033.7199999999993</v>
      </c>
      <c r="I57" s="1"/>
      <c r="J57" s="5">
        <f t="shared" si="29"/>
        <v>1.9112195121951217</v>
      </c>
      <c r="K57" s="1"/>
      <c r="L57" s="1">
        <f t="shared" si="30"/>
        <v>-463.34999999999945</v>
      </c>
      <c r="M57" s="1"/>
      <c r="N57" s="5">
        <f t="shared" si="31"/>
        <v>-7.6793420974125337E-2</v>
      </c>
      <c r="O57" s="14"/>
      <c r="P57" s="1">
        <f>SUM(OSRRefP22_11x_0)</f>
        <v>10416.75</v>
      </c>
      <c r="Q57" s="1"/>
      <c r="R57" s="5">
        <f t="shared" si="32"/>
        <v>4.9499243522972844E-2</v>
      </c>
      <c r="S57" s="1"/>
      <c r="T57" s="1">
        <f>SUM(OSRRefT22_11x_0)</f>
        <v>15941.869999999999</v>
      </c>
      <c r="U57" s="1"/>
      <c r="V57" s="5">
        <f t="shared" si="33"/>
        <v>0.70900274495083804</v>
      </c>
      <c r="W57" s="1"/>
      <c r="X57" s="1">
        <f t="shared" si="34"/>
        <v>-5525.119999999999</v>
      </c>
      <c r="Y57" s="1"/>
      <c r="Z57" s="5">
        <f t="shared" si="35"/>
        <v>-0.34657916543040429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8">
        <f t="shared" si="28"/>
        <v>0</v>
      </c>
      <c r="G58" s="2"/>
      <c r="H58" s="7">
        <v>417.32</v>
      </c>
      <c r="I58" s="2"/>
      <c r="J58" s="8">
        <f t="shared" si="29"/>
        <v>0.13218878682293317</v>
      </c>
      <c r="K58" s="2"/>
      <c r="L58" s="7">
        <f t="shared" si="30"/>
        <v>-417.32</v>
      </c>
      <c r="M58" s="2"/>
      <c r="N58" s="8">
        <f t="shared" si="31"/>
        <v>-1</v>
      </c>
      <c r="O58" s="11"/>
      <c r="P58" s="7">
        <v>417.52</v>
      </c>
      <c r="Q58" s="2"/>
      <c r="R58" s="8">
        <f t="shared" si="32"/>
        <v>1.9840088468775405E-3</v>
      </c>
      <c r="S58" s="2"/>
      <c r="T58" s="7">
        <v>548.02</v>
      </c>
      <c r="U58" s="2"/>
      <c r="V58" s="8">
        <f t="shared" si="33"/>
        <v>2.4372779622965076E-2</v>
      </c>
      <c r="W58" s="2"/>
      <c r="X58" s="7">
        <f t="shared" si="34"/>
        <v>-130.5</v>
      </c>
      <c r="Y58" s="2"/>
      <c r="Z58" s="8">
        <f t="shared" si="35"/>
        <v>-0.23812999525564763</v>
      </c>
    </row>
    <row r="59" spans="1:26" s="24" customFormat="1" hidden="1" outlineLevel="2" x14ac:dyDescent="0.3">
      <c r="A59" s="27"/>
      <c r="B59" s="11" t="str">
        <f>CONCATENATE("          ", "6285", " - ", "JANITORIAL SERVICES")</f>
        <v xml:space="preserve">          6285 - JANITORIAL SERVICES</v>
      </c>
      <c r="C59" s="11"/>
      <c r="D59" s="7">
        <v>4428.8599999999997</v>
      </c>
      <c r="E59" s="2"/>
      <c r="F59" s="8">
        <f t="shared" si="28"/>
        <v>2.1045452724616939E-2</v>
      </c>
      <c r="G59" s="2"/>
      <c r="H59" s="7">
        <v>4157.05</v>
      </c>
      <c r="I59" s="2"/>
      <c r="J59" s="8">
        <f t="shared" si="29"/>
        <v>1.3167722521381058</v>
      </c>
      <c r="K59" s="2"/>
      <c r="L59" s="7">
        <f t="shared" si="30"/>
        <v>271.80999999999949</v>
      </c>
      <c r="M59" s="2"/>
      <c r="N59" s="8">
        <f t="shared" si="31"/>
        <v>6.5385309293850086E-2</v>
      </c>
      <c r="O59" s="11"/>
      <c r="P59" s="7">
        <v>8857.7199999999993</v>
      </c>
      <c r="Q59" s="2"/>
      <c r="R59" s="8">
        <f t="shared" si="32"/>
        <v>4.2090905449233877E-2</v>
      </c>
      <c r="S59" s="2"/>
      <c r="T59" s="7">
        <v>12471.15</v>
      </c>
      <c r="U59" s="2"/>
      <c r="V59" s="8">
        <f t="shared" si="33"/>
        <v>0.5546450687838782</v>
      </c>
      <c r="W59" s="2"/>
      <c r="X59" s="7">
        <f t="shared" si="34"/>
        <v>-3613.4300000000003</v>
      </c>
      <c r="Y59" s="2"/>
      <c r="Z59" s="8">
        <f t="shared" si="35"/>
        <v>-0.28974312713743322</v>
      </c>
    </row>
    <row r="60" spans="1:26" s="24" customFormat="1" hidden="1" outlineLevel="2" x14ac:dyDescent="0.3">
      <c r="A60" s="27"/>
      <c r="B60" s="11" t="str">
        <f>CONCATENATE("          ", "6286", " - ", "LAUNDRY EXPENSE")</f>
        <v xml:space="preserve">          6286 - LAUNDRY EXPENSE</v>
      </c>
      <c r="C60" s="11"/>
      <c r="D60" s="7">
        <v>1141.51</v>
      </c>
      <c r="E60" s="2"/>
      <c r="F60" s="8">
        <f t="shared" si="28"/>
        <v>5.4243292268614232E-3</v>
      </c>
      <c r="G60" s="2"/>
      <c r="H60" s="7">
        <v>1459.35</v>
      </c>
      <c r="I60" s="2"/>
      <c r="J60" s="8">
        <f t="shared" si="29"/>
        <v>0.46225847323408298</v>
      </c>
      <c r="K60" s="2"/>
      <c r="L60" s="7">
        <f t="shared" si="30"/>
        <v>-317.83999999999992</v>
      </c>
      <c r="M60" s="2"/>
      <c r="N60" s="8">
        <f t="shared" si="31"/>
        <v>-0.21779559392880388</v>
      </c>
      <c r="O60" s="11"/>
      <c r="P60" s="7">
        <v>1141.51</v>
      </c>
      <c r="Q60" s="2"/>
      <c r="R60" s="8">
        <f t="shared" si="32"/>
        <v>5.4243292268614232E-3</v>
      </c>
      <c r="S60" s="2"/>
      <c r="T60" s="7">
        <v>2922.7</v>
      </c>
      <c r="U60" s="2"/>
      <c r="V60" s="8">
        <f t="shared" si="33"/>
        <v>0.12998489654399481</v>
      </c>
      <c r="W60" s="2"/>
      <c r="X60" s="7">
        <f t="shared" si="34"/>
        <v>-1781.1899999999998</v>
      </c>
      <c r="Y60" s="2"/>
      <c r="Z60" s="8">
        <f t="shared" si="35"/>
        <v>-0.6094330584733294</v>
      </c>
    </row>
    <row r="61" spans="1:26" s="28" customFormat="1" outlineLevel="1" collapsed="1" x14ac:dyDescent="0.3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SUM(OSRRefD22_12x_0)</f>
        <v>4110.21</v>
      </c>
      <c r="E61" s="1"/>
      <c r="F61" s="5">
        <f t="shared" ref="F61:F66" si="36">IF(D$12=0,0,D61/D$12)</f>
        <v>1.9531263179068156E-2</v>
      </c>
      <c r="G61" s="1"/>
      <c r="H61" s="1">
        <f>SUM(OSRRefH22_12x_0)</f>
        <v>4428.42</v>
      </c>
      <c r="I61" s="1"/>
      <c r="J61" s="5">
        <f t="shared" ref="J61:J66" si="37">IF(H$12=0,0,H61/H$12)</f>
        <v>1.402730440291416</v>
      </c>
      <c r="K61" s="1"/>
      <c r="L61" s="1">
        <f t="shared" ref="L61:L66" si="38">+D61-H61</f>
        <v>-318.21000000000004</v>
      </c>
      <c r="M61" s="1"/>
      <c r="N61" s="5">
        <f t="shared" ref="N61:N66" si="39">IF(H61=0,0,L61/H61)</f>
        <v>-7.1856327990570013E-2</v>
      </c>
      <c r="O61" s="14"/>
      <c r="P61" s="1">
        <f>SUM(OSRRefP22_12x_0)</f>
        <v>4114.71</v>
      </c>
      <c r="Q61" s="1"/>
      <c r="R61" s="5">
        <f t="shared" ref="R61:R66" si="40">IF(P$12=0,0,P61/P$12)</f>
        <v>1.9552646681202063E-2</v>
      </c>
      <c r="S61" s="1"/>
      <c r="T61" s="1">
        <f>SUM(OSRRefT22_12x_0)</f>
        <v>6357.74</v>
      </c>
      <c r="U61" s="1"/>
      <c r="V61" s="5">
        <f t="shared" ref="V61:V66" si="41">IF(T$12=0,0,T61/T$12)</f>
        <v>0.28275573139686505</v>
      </c>
      <c r="W61" s="1"/>
      <c r="X61" s="1">
        <f t="shared" ref="X61:X66" si="42">+P61-T61</f>
        <v>-2243.0299999999997</v>
      </c>
      <c r="Y61" s="1"/>
      <c r="Z61" s="5">
        <f t="shared" ref="Z61:Z66" si="43">IF(T61=0,0,X61/T61)</f>
        <v>-0.35280304007398855</v>
      </c>
    </row>
    <row r="62" spans="1:26" s="24" customFormat="1" hidden="1" outlineLevel="2" x14ac:dyDescent="0.3">
      <c r="A62" s="27"/>
      <c r="B62" s="11" t="str">
        <f>CONCATENATE("          ", "6235", " - ", "COVID-19 EXPENSES")</f>
        <v xml:space="preserve">          6235 - COVID-19 EXPENSES</v>
      </c>
      <c r="C62" s="11"/>
      <c r="D62" s="7"/>
      <c r="E62" s="2"/>
      <c r="F62" s="8">
        <f t="shared" si="36"/>
        <v>0</v>
      </c>
      <c r="G62" s="2"/>
      <c r="H62" s="7">
        <v>1082.46</v>
      </c>
      <c r="I62" s="2"/>
      <c r="J62" s="8">
        <f t="shared" si="37"/>
        <v>0.34287614824200191</v>
      </c>
      <c r="K62" s="2"/>
      <c r="L62" s="7">
        <f t="shared" si="38"/>
        <v>-1082.46</v>
      </c>
      <c r="M62" s="2"/>
      <c r="N62" s="8">
        <f t="shared" si="39"/>
        <v>-1</v>
      </c>
      <c r="O62" s="11"/>
      <c r="P62" s="7"/>
      <c r="Q62" s="2"/>
      <c r="R62" s="8">
        <f t="shared" si="40"/>
        <v>0</v>
      </c>
      <c r="S62" s="2"/>
      <c r="T62" s="7">
        <v>1109.3800000000001</v>
      </c>
      <c r="U62" s="2"/>
      <c r="V62" s="8">
        <f t="shared" si="41"/>
        <v>4.9338845768630707E-2</v>
      </c>
      <c r="W62" s="2"/>
      <c r="X62" s="7">
        <f t="shared" si="42"/>
        <v>-1109.3800000000001</v>
      </c>
      <c r="Y62" s="2"/>
      <c r="Z62" s="8">
        <f t="shared" si="43"/>
        <v>-1</v>
      </c>
    </row>
    <row r="63" spans="1:26" s="24" customFormat="1" hidden="1" outlineLevel="2" x14ac:dyDescent="0.3">
      <c r="A63" s="27"/>
      <c r="B63" s="11" t="str">
        <f>CONCATENATE("          ", "6237", " - ", "JANITORIAL SUPPLIES")</f>
        <v xml:space="preserve">          6237 - JANITORIAL SUPPLIES</v>
      </c>
      <c r="C63" s="11"/>
      <c r="D63" s="7">
        <v>903.33</v>
      </c>
      <c r="E63" s="2"/>
      <c r="F63" s="8">
        <f t="shared" si="36"/>
        <v>4.2925242183605309E-3</v>
      </c>
      <c r="G63" s="2"/>
      <c r="H63" s="7"/>
      <c r="I63" s="2"/>
      <c r="J63" s="8">
        <f t="shared" si="37"/>
        <v>0</v>
      </c>
      <c r="K63" s="2"/>
      <c r="L63" s="7">
        <f t="shared" si="38"/>
        <v>903.33</v>
      </c>
      <c r="M63" s="2"/>
      <c r="N63" s="8">
        <f t="shared" si="39"/>
        <v>0</v>
      </c>
      <c r="O63" s="11"/>
      <c r="P63" s="7">
        <v>903.33</v>
      </c>
      <c r="Q63" s="2"/>
      <c r="R63" s="8">
        <f t="shared" si="40"/>
        <v>4.2925242183605309E-3</v>
      </c>
      <c r="S63" s="2"/>
      <c r="T63" s="7">
        <v>1188.04</v>
      </c>
      <c r="U63" s="2"/>
      <c r="V63" s="8">
        <f t="shared" si="41"/>
        <v>5.2837190436968412E-2</v>
      </c>
      <c r="W63" s="2"/>
      <c r="X63" s="7">
        <f t="shared" si="42"/>
        <v>-284.70999999999992</v>
      </c>
      <c r="Y63" s="2"/>
      <c r="Z63" s="8">
        <f t="shared" si="43"/>
        <v>-0.23964681323861145</v>
      </c>
    </row>
    <row r="64" spans="1:26" s="24" customFormat="1" hidden="1" outlineLevel="2" x14ac:dyDescent="0.3">
      <c r="A64" s="27"/>
      <c r="B64" s="11" t="str">
        <f>CONCATENATE("          ", "6239", " - ", "KITCHEN SUPPLIES")</f>
        <v xml:space="preserve">          6239 - KITCHEN SUPPLIES</v>
      </c>
      <c r="C64" s="11"/>
      <c r="D64" s="7">
        <v>400.56</v>
      </c>
      <c r="E64" s="2"/>
      <c r="F64" s="8">
        <f t="shared" si="36"/>
        <v>1.903416803279526E-3</v>
      </c>
      <c r="G64" s="2"/>
      <c r="H64" s="7">
        <v>981.07</v>
      </c>
      <c r="I64" s="2"/>
      <c r="J64" s="8">
        <f t="shared" si="37"/>
        <v>0.31076021539436177</v>
      </c>
      <c r="K64" s="2"/>
      <c r="L64" s="7">
        <f t="shared" si="38"/>
        <v>-580.51</v>
      </c>
      <c r="M64" s="2"/>
      <c r="N64" s="8">
        <f t="shared" si="39"/>
        <v>-0.59171109095171592</v>
      </c>
      <c r="O64" s="11"/>
      <c r="P64" s="7">
        <v>400.56</v>
      </c>
      <c r="Q64" s="2"/>
      <c r="R64" s="8">
        <f t="shared" si="40"/>
        <v>1.903416803279526E-3</v>
      </c>
      <c r="S64" s="2"/>
      <c r="T64" s="7">
        <v>1031.07</v>
      </c>
      <c r="U64" s="2"/>
      <c r="V64" s="8">
        <f t="shared" si="41"/>
        <v>4.5856067088519768E-2</v>
      </c>
      <c r="W64" s="2"/>
      <c r="X64" s="7">
        <f t="shared" si="42"/>
        <v>-630.51</v>
      </c>
      <c r="Y64" s="2"/>
      <c r="Z64" s="8">
        <f t="shared" si="43"/>
        <v>-0.61151037271960196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7">
        <v>561.9</v>
      </c>
      <c r="E65" s="2"/>
      <c r="F65" s="8">
        <f t="shared" si="36"/>
        <v>2.6700866331205455E-3</v>
      </c>
      <c r="G65" s="2"/>
      <c r="H65" s="7">
        <v>3.22</v>
      </c>
      <c r="I65" s="2"/>
      <c r="J65" s="8">
        <f t="shared" si="37"/>
        <v>1.0199556541019956E-3</v>
      </c>
      <c r="K65" s="2"/>
      <c r="L65" s="7">
        <f t="shared" si="38"/>
        <v>558.67999999999995</v>
      </c>
      <c r="M65" s="2"/>
      <c r="N65" s="8">
        <f t="shared" si="39"/>
        <v>173.50310559006209</v>
      </c>
      <c r="O65" s="11"/>
      <c r="P65" s="7">
        <v>566.4</v>
      </c>
      <c r="Q65" s="2"/>
      <c r="R65" s="8">
        <f t="shared" si="40"/>
        <v>2.6914701352544527E-3</v>
      </c>
      <c r="S65" s="2"/>
      <c r="T65" s="7">
        <v>19.7</v>
      </c>
      <c r="U65" s="2"/>
      <c r="V65" s="8">
        <f t="shared" si="41"/>
        <v>8.7614276590710564E-4</v>
      </c>
      <c r="W65" s="2"/>
      <c r="X65" s="7">
        <f t="shared" si="42"/>
        <v>546.69999999999993</v>
      </c>
      <c r="Y65" s="2"/>
      <c r="Z65" s="8">
        <f t="shared" si="43"/>
        <v>27.751269035532992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7">
        <v>2244.42</v>
      </c>
      <c r="E66" s="2"/>
      <c r="F66" s="8">
        <f t="shared" si="36"/>
        <v>1.0665235524307554E-2</v>
      </c>
      <c r="G66" s="2"/>
      <c r="H66" s="7">
        <v>2361.67</v>
      </c>
      <c r="I66" s="2"/>
      <c r="J66" s="8">
        <f t="shared" si="37"/>
        <v>0.74807412100095028</v>
      </c>
      <c r="K66" s="2"/>
      <c r="L66" s="7">
        <f t="shared" si="38"/>
        <v>-117.25</v>
      </c>
      <c r="M66" s="2"/>
      <c r="N66" s="8">
        <f t="shared" si="39"/>
        <v>-4.964707177548091E-2</v>
      </c>
      <c r="O66" s="11"/>
      <c r="P66" s="7">
        <v>2244.42</v>
      </c>
      <c r="Q66" s="2"/>
      <c r="R66" s="8">
        <f t="shared" si="40"/>
        <v>1.0665235524307554E-2</v>
      </c>
      <c r="S66" s="2"/>
      <c r="T66" s="7">
        <v>3009.55</v>
      </c>
      <c r="U66" s="2"/>
      <c r="V66" s="8">
        <f t="shared" si="41"/>
        <v>0.1338474853368391</v>
      </c>
      <c r="W66" s="2"/>
      <c r="X66" s="7">
        <f t="shared" si="42"/>
        <v>-765.13000000000011</v>
      </c>
      <c r="Y66" s="2"/>
      <c r="Z66" s="8">
        <f t="shared" si="43"/>
        <v>-0.25423402169759601</v>
      </c>
    </row>
    <row r="67" spans="1:26" s="28" customFormat="1" outlineLevel="1" collapsed="1" x14ac:dyDescent="0.3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SUM(OSRRefD22_13x_0)</f>
        <v>164</v>
      </c>
      <c r="E67" s="1"/>
      <c r="F67" s="5">
        <f t="shared" ref="F67:F68" si="44">IF(D$12=0,0,D67/D$12)</f>
        <v>7.7930985554684013E-4</v>
      </c>
      <c r="G67" s="1"/>
      <c r="H67" s="1">
        <f>SUM(OSRRefH22_13x_0)</f>
        <v>139</v>
      </c>
      <c r="I67" s="1"/>
      <c r="J67" s="5">
        <f t="shared" ref="J67:J68" si="45">IF(H$12=0,0,H67/H$12)</f>
        <v>4.4029141590117199E-2</v>
      </c>
      <c r="K67" s="1"/>
      <c r="L67" s="1">
        <f t="shared" ref="L67:L68" si="46">+D67-H67</f>
        <v>25</v>
      </c>
      <c r="M67" s="1"/>
      <c r="N67" s="5">
        <f t="shared" ref="N67:N68" si="47">IF(H67=0,0,L67/H67)</f>
        <v>0.17985611510791366</v>
      </c>
      <c r="O67" s="14"/>
      <c r="P67" s="1">
        <f>SUM(OSRRefP22_13x_0)</f>
        <v>328</v>
      </c>
      <c r="Q67" s="1"/>
      <c r="R67" s="5">
        <f t="shared" ref="R67:R68" si="48">IF(P$12=0,0,P67/P$12)</f>
        <v>1.5586197110936803E-3</v>
      </c>
      <c r="S67" s="1"/>
      <c r="T67" s="1">
        <f>SUM(OSRRefT22_13x_0)</f>
        <v>278</v>
      </c>
      <c r="U67" s="1"/>
      <c r="V67" s="5">
        <f t="shared" ref="V67:V68" si="49">IF(T$12=0,0,T67/T$12)</f>
        <v>1.2363842077267786E-2</v>
      </c>
      <c r="W67" s="1"/>
      <c r="X67" s="1">
        <f t="shared" ref="X67:X68" si="50">+P67-T67</f>
        <v>50</v>
      </c>
      <c r="Y67" s="1"/>
      <c r="Z67" s="5">
        <f t="shared" ref="Z67:Z68" si="51">IF(T67=0,0,X67/T67)</f>
        <v>0.17985611510791366</v>
      </c>
    </row>
    <row r="68" spans="1:26" s="24" customFormat="1" hidden="1" outlineLevel="2" x14ac:dyDescent="0.3">
      <c r="A68" s="27"/>
      <c r="B68" s="11" t="str">
        <f>CONCATENATE("          ", "6309", " - ", "TELEPHONE")</f>
        <v xml:space="preserve">          6309 - TELEPHONE</v>
      </c>
      <c r="C68" s="11"/>
      <c r="D68" s="7">
        <v>164</v>
      </c>
      <c r="E68" s="2"/>
      <c r="F68" s="8">
        <f t="shared" si="44"/>
        <v>7.7930985554684013E-4</v>
      </c>
      <c r="G68" s="2"/>
      <c r="H68" s="7">
        <v>139</v>
      </c>
      <c r="I68" s="2"/>
      <c r="J68" s="8">
        <f t="shared" si="45"/>
        <v>4.4029141590117199E-2</v>
      </c>
      <c r="K68" s="2"/>
      <c r="L68" s="7">
        <f t="shared" si="46"/>
        <v>25</v>
      </c>
      <c r="M68" s="2"/>
      <c r="N68" s="8">
        <f t="shared" si="47"/>
        <v>0.17985611510791366</v>
      </c>
      <c r="O68" s="11"/>
      <c r="P68" s="7">
        <v>328</v>
      </c>
      <c r="Q68" s="2"/>
      <c r="R68" s="8">
        <f t="shared" si="48"/>
        <v>1.5586197110936803E-3</v>
      </c>
      <c r="S68" s="2"/>
      <c r="T68" s="7">
        <v>278</v>
      </c>
      <c r="U68" s="2"/>
      <c r="V68" s="8">
        <f t="shared" si="49"/>
        <v>1.2363842077267786E-2</v>
      </c>
      <c r="W68" s="2"/>
      <c r="X68" s="7">
        <f t="shared" si="50"/>
        <v>50</v>
      </c>
      <c r="Y68" s="2"/>
      <c r="Z68" s="8">
        <f t="shared" si="51"/>
        <v>0.17985611510791366</v>
      </c>
    </row>
    <row r="69" spans="1:26" s="61" customFormat="1" x14ac:dyDescent="0.3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3">
      <c r="A70" s="10"/>
      <c r="B70" s="26" t="s">
        <v>292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3">
      <c r="A71" s="9"/>
      <c r="B71" s="10"/>
      <c r="C71" s="10"/>
      <c r="D71" s="3"/>
      <c r="E71" s="3"/>
      <c r="F71" s="6"/>
      <c r="G71" s="3"/>
      <c r="H71" s="3"/>
      <c r="I71" s="3"/>
      <c r="J71" s="6"/>
      <c r="K71" s="3"/>
      <c r="L71" s="3"/>
      <c r="M71" s="3"/>
      <c r="N71" s="6"/>
      <c r="O71" s="10"/>
      <c r="P71" s="3"/>
      <c r="Q71" s="3"/>
      <c r="R71" s="6"/>
      <c r="S71" s="3"/>
      <c r="T71" s="3"/>
      <c r="U71" s="3"/>
      <c r="V71" s="6"/>
      <c r="W71" s="3"/>
      <c r="X71" s="3"/>
      <c r="Y71" s="3"/>
      <c r="Z71" s="6"/>
    </row>
    <row r="72" spans="1:26" s="23" customFormat="1" x14ac:dyDescent="0.3">
      <c r="A72" s="10"/>
      <c r="B72" s="25" t="s">
        <v>276</v>
      </c>
      <c r="C72" s="25"/>
      <c r="D72" s="20">
        <f>+D21-D23+D70</f>
        <v>67998.030000000013</v>
      </c>
      <c r="E72" s="13"/>
      <c r="F72" s="22">
        <f>IF(D$12=0,0,D72/D$12)</f>
        <v>0.32311911546810801</v>
      </c>
      <c r="G72" s="13"/>
      <c r="H72" s="20">
        <f>+H21-H23+H70</f>
        <v>-64332.539999999994</v>
      </c>
      <c r="I72" s="13"/>
      <c r="J72" s="22">
        <f>IF(H$12=0,0,H72/H$12)</f>
        <v>-20.377744694330058</v>
      </c>
      <c r="K72" s="15"/>
      <c r="L72" s="20">
        <f>+D72-H72</f>
        <v>132330.57</v>
      </c>
      <c r="M72" s="15"/>
      <c r="N72" s="22">
        <f>IF(H72=0,0,L72/H72)</f>
        <v>-2.0569772311181871</v>
      </c>
      <c r="O72" s="26"/>
      <c r="P72" s="20">
        <f>+P21-P23+P70</f>
        <v>26499.22</v>
      </c>
      <c r="Q72" s="13"/>
      <c r="R72" s="22">
        <f>IF(P$12=0,0,P72/P$12)</f>
        <v>0.12592136164819473</v>
      </c>
      <c r="S72" s="13"/>
      <c r="T72" s="20">
        <f>+T21-T23+T70</f>
        <v>-116153.76999999997</v>
      </c>
      <c r="U72" s="13"/>
      <c r="V72" s="22">
        <f>IF(T$12=0,0,T72/T$12)</f>
        <v>-5.1658520466161306</v>
      </c>
      <c r="W72" s="15"/>
      <c r="X72" s="20">
        <f>+P72-T72</f>
        <v>142652.99</v>
      </c>
      <c r="Y72" s="15"/>
      <c r="Z72" s="22">
        <f>IF(T72=0,0,X72/T72)</f>
        <v>-1.2281391297071118</v>
      </c>
    </row>
    <row r="73" spans="1:26" x14ac:dyDescent="0.3">
      <c r="A73" s="9"/>
      <c r="B73" s="10"/>
      <c r="C73" s="9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s="23" customFormat="1" x14ac:dyDescent="0.3">
      <c r="A74" s="51"/>
      <c r="B74" s="10" t="s">
        <v>127</v>
      </c>
      <c r="C74" s="10"/>
      <c r="D74" s="4">
        <v>31447.08</v>
      </c>
      <c r="E74" s="4"/>
      <c r="F74" s="12">
        <f>IF(D$12=0,0,D74/D$12)</f>
        <v>0.14943304495225565</v>
      </c>
      <c r="G74" s="4"/>
      <c r="H74" s="4">
        <v>-5499.42</v>
      </c>
      <c r="I74" s="4"/>
      <c r="J74" s="12">
        <f>IF(H$12=0,0,H74/H$12)</f>
        <v>-1.7419765600253405</v>
      </c>
      <c r="K74" s="4"/>
      <c r="L74" s="4">
        <f>+D74-H74</f>
        <v>36946.5</v>
      </c>
      <c r="M74" s="4"/>
      <c r="N74" s="12">
        <f>IF(H74=0,0,L74/H74)</f>
        <v>-6.7182539249593596</v>
      </c>
      <c r="O74" s="10"/>
      <c r="P74" s="4">
        <v>31447.08</v>
      </c>
      <c r="Q74" s="4"/>
      <c r="R74" s="12">
        <f>IF(P$12=0,0,P74/P$12)</f>
        <v>0.14943304495225565</v>
      </c>
      <c r="S74" s="4"/>
      <c r="T74" s="4">
        <v>3796.28</v>
      </c>
      <c r="U74" s="4"/>
      <c r="V74" s="12">
        <f>IF(T$12=0,0,T74/T$12)</f>
        <v>0.16883671367298617</v>
      </c>
      <c r="W74" s="4"/>
      <c r="X74" s="4">
        <f>+P74-T74</f>
        <v>27650.800000000003</v>
      </c>
      <c r="Y74" s="4"/>
      <c r="Z74" s="12">
        <f>IF(T74=0,0,X74/T74)</f>
        <v>7.2836566322821295</v>
      </c>
    </row>
    <row r="75" spans="1:26" x14ac:dyDescent="0.3">
      <c r="A75" s="9"/>
      <c r="B75" s="10"/>
      <c r="C75" s="10"/>
      <c r="D75" s="3"/>
      <c r="E75" s="3"/>
      <c r="F75" s="6"/>
      <c r="G75" s="3"/>
      <c r="H75" s="3"/>
      <c r="I75" s="3"/>
      <c r="J75" s="6"/>
      <c r="K75" s="3"/>
      <c r="L75" s="3"/>
      <c r="M75" s="3"/>
      <c r="N75" s="6"/>
      <c r="O75" s="10"/>
      <c r="P75" s="3"/>
      <c r="Q75" s="3"/>
      <c r="R75" s="6"/>
      <c r="S75" s="3"/>
      <c r="T75" s="3"/>
      <c r="U75" s="3"/>
      <c r="V75" s="6"/>
      <c r="W75" s="3"/>
      <c r="X75" s="3"/>
      <c r="Y75" s="3"/>
      <c r="Z75" s="6"/>
    </row>
    <row r="76" spans="1:26" s="23" customFormat="1" ht="15" thickBot="1" x14ac:dyDescent="0.35">
      <c r="A76" s="10"/>
      <c r="B76" s="25" t="s">
        <v>125</v>
      </c>
      <c r="C76" s="25"/>
      <c r="D76" s="33">
        <f>+D72-D74</f>
        <v>36550.950000000012</v>
      </c>
      <c r="E76" s="13"/>
      <c r="F76" s="36">
        <f>IF(D$12=0,0,D76/D$12)</f>
        <v>0.17368607051585236</v>
      </c>
      <c r="G76" s="13"/>
      <c r="H76" s="33">
        <f>+H72-H74</f>
        <v>-58833.119999999995</v>
      </c>
      <c r="I76" s="13"/>
      <c r="J76" s="36">
        <f>IF(H$12=0,0,H76/H$12)</f>
        <v>-18.635768134304719</v>
      </c>
      <c r="K76" s="15"/>
      <c r="L76" s="33">
        <f>D76-H76</f>
        <v>95384.07</v>
      </c>
      <c r="M76" s="15"/>
      <c r="N76" s="36">
        <f>IF(H76=0,0,L76/H76)</f>
        <v>-1.6212648589773926</v>
      </c>
      <c r="O76" s="26"/>
      <c r="P76" s="33">
        <f>+P72-P74</f>
        <v>-4947.8600000000006</v>
      </c>
      <c r="Q76" s="13"/>
      <c r="R76" s="36">
        <f>IF(P$12=0,0,P76/P$12)</f>
        <v>-2.3511683304060907E-2</v>
      </c>
      <c r="S76" s="13"/>
      <c r="T76" s="33">
        <f>+T72-T74</f>
        <v>-119950.04999999997</v>
      </c>
      <c r="U76" s="13"/>
      <c r="V76" s="36">
        <f>IF(T$12=0,0,T76/T$12)</f>
        <v>-5.3346887602891169</v>
      </c>
      <c r="W76" s="15"/>
      <c r="X76" s="33">
        <f>P76-T76</f>
        <v>115002.18999999997</v>
      </c>
      <c r="Y76" s="15"/>
      <c r="Z76" s="36">
        <f>IF(T76=0,0,X76/T76)</f>
        <v>-0.95875066329693071</v>
      </c>
    </row>
    <row r="77" spans="1:26" ht="15" thickTop="1" x14ac:dyDescent="0.3">
      <c r="A77" s="9"/>
      <c r="B77" s="9"/>
      <c r="C77" s="9"/>
      <c r="D77" s="3"/>
      <c r="E77" s="3"/>
      <c r="F77" s="6"/>
      <c r="G77" s="3"/>
      <c r="H77" s="3"/>
      <c r="I77" s="3"/>
      <c r="J77" s="6"/>
      <c r="K77" s="3"/>
      <c r="L77" s="3"/>
      <c r="M77" s="3"/>
      <c r="N77" s="6"/>
      <c r="P77" s="3"/>
      <c r="Q77" s="3"/>
      <c r="R77" s="6"/>
      <c r="S77" s="3"/>
      <c r="T77" s="3"/>
      <c r="U77" s="3"/>
      <c r="V77" s="6"/>
      <c r="W77" s="3"/>
      <c r="X77" s="3"/>
      <c r="Y77" s="3"/>
      <c r="Z77" s="6"/>
    </row>
    <row r="78" spans="1:26" x14ac:dyDescent="0.3">
      <c r="A78" s="9"/>
      <c r="B78" s="9"/>
      <c r="C78" s="9"/>
      <c r="D78" s="3"/>
      <c r="E78" s="3"/>
      <c r="F78" s="6"/>
      <c r="G78" s="3"/>
      <c r="H78" s="3"/>
      <c r="I78" s="3"/>
      <c r="J78" s="6"/>
      <c r="K78" s="3"/>
      <c r="L78" s="3"/>
      <c r="M78" s="3"/>
      <c r="N78" s="6"/>
      <c r="P78" s="3"/>
      <c r="Q78" s="3"/>
      <c r="R78" s="6"/>
      <c r="S78" s="3"/>
      <c r="T78" s="3"/>
      <c r="U78" s="3"/>
      <c r="V78" s="6"/>
      <c r="W78" s="3"/>
      <c r="X78" s="3"/>
      <c r="Y78" s="3"/>
      <c r="Z78" s="6"/>
    </row>
    <row r="79" spans="1:26" s="23" customFormat="1" ht="15" thickBot="1" x14ac:dyDescent="0.35">
      <c r="A79" s="10"/>
      <c r="B79" s="25" t="s">
        <v>293</v>
      </c>
      <c r="C79" s="25"/>
      <c r="D79" s="30">
        <f>SUM(D76:D78)</f>
        <v>36550.950000000012</v>
      </c>
      <c r="E79" s="13"/>
      <c r="F79" s="31">
        <f>IF(D$12=0,0,D79/D$12)</f>
        <v>0.17368607051585236</v>
      </c>
      <c r="G79" s="13"/>
      <c r="H79" s="30">
        <f>SUM(H76:H78)</f>
        <v>-58833.119999999995</v>
      </c>
      <c r="I79" s="13"/>
      <c r="J79" s="31">
        <f>IF(H$12=0,0,H79/H$12)</f>
        <v>-18.635768134304719</v>
      </c>
      <c r="K79" s="15"/>
      <c r="L79" s="30">
        <f>+D79-H79</f>
        <v>95384.07</v>
      </c>
      <c r="M79" s="15"/>
      <c r="N79" s="31">
        <f>IF(H79=0,0,L79/H79)</f>
        <v>-1.6212648589773926</v>
      </c>
      <c r="O79" s="26"/>
      <c r="P79" s="30">
        <f>SUM(P76:P78)</f>
        <v>-4947.8600000000006</v>
      </c>
      <c r="Q79" s="13"/>
      <c r="R79" s="31">
        <f>IF(P$12=0,0,P79/P$12)</f>
        <v>-2.3511683304060907E-2</v>
      </c>
      <c r="S79" s="13"/>
      <c r="T79" s="30">
        <f>SUM(T76:T78)</f>
        <v>-119950.04999999997</v>
      </c>
      <c r="U79" s="13"/>
      <c r="V79" s="31">
        <f>IF(T$12=0,0,T79/T$12)</f>
        <v>-5.3346887602891169</v>
      </c>
      <c r="W79" s="15"/>
      <c r="X79" s="30">
        <f>+P79-T79</f>
        <v>115002.18999999997</v>
      </c>
      <c r="Y79" s="15"/>
      <c r="Z79" s="31">
        <f>IF(T79=0,0,X79/T79)</f>
        <v>-0.95875066329693071</v>
      </c>
    </row>
    <row r="80" spans="1:26" ht="15" thickTop="1" x14ac:dyDescent="0.3">
      <c r="A80" s="9"/>
      <c r="C80" s="9"/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3">
      <c r="A81" s="9"/>
      <c r="B81" s="59">
        <v>44470.840542939812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3">
      <c r="A82" s="9"/>
      <c r="B82" s="58" t="s">
        <v>56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3">
      <c r="A83" s="9"/>
      <c r="B83" s="52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3"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138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6"/>
      <c r="G13" s="3"/>
      <c r="H13" s="3"/>
      <c r="I13" s="3"/>
      <c r="J13" s="6"/>
      <c r="K13" s="3"/>
      <c r="L13" s="3"/>
      <c r="M13" s="3"/>
      <c r="N13" s="6"/>
      <c r="P13" s="3"/>
      <c r="Q13" s="3"/>
      <c r="R13" s="6"/>
      <c r="S13" s="3"/>
      <c r="T13" s="3"/>
      <c r="U13" s="3"/>
      <c r="V13" s="6"/>
      <c r="W13" s="3"/>
      <c r="X13" s="3"/>
      <c r="Y13" s="3"/>
      <c r="Z13" s="6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O15" s="10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x14ac:dyDescent="0.3">
      <c r="A16" s="10"/>
      <c r="B16" s="25" t="s">
        <v>107</v>
      </c>
      <c r="C16" s="25"/>
      <c r="D16" s="20">
        <f>D12-D14</f>
        <v>0</v>
      </c>
      <c r="E16" s="13"/>
      <c r="F16" s="22">
        <f>IF(D$12=0,0,D16/D$12)</f>
        <v>0</v>
      </c>
      <c r="G16" s="13"/>
      <c r="H16" s="20">
        <f>H12-H14</f>
        <v>0</v>
      </c>
      <c r="I16" s="13"/>
      <c r="J16" s="22">
        <f>IF(H$12=0,0,H16/H$12)</f>
        <v>0</v>
      </c>
      <c r="K16" s="15"/>
      <c r="L16" s="20">
        <f>+D16-H16</f>
        <v>0</v>
      </c>
      <c r="M16" s="15"/>
      <c r="N16" s="22">
        <f>IF(H16=0,0,L16/H16)</f>
        <v>0</v>
      </c>
      <c r="O16" s="26"/>
      <c r="P16" s="20">
        <f>P12-P14</f>
        <v>0</v>
      </c>
      <c r="Q16" s="13"/>
      <c r="R16" s="22">
        <f>IF(P$12=0,0,P16/P$12)</f>
        <v>0</v>
      </c>
      <c r="S16" s="13"/>
      <c r="T16" s="20">
        <f>T12-T14</f>
        <v>0</v>
      </c>
      <c r="U16" s="13"/>
      <c r="V16" s="22">
        <f>IF(T$12=0,0,T16/T$12)</f>
        <v>0</v>
      </c>
      <c r="W16" s="15"/>
      <c r="X16" s="20">
        <f>+P16-T16</f>
        <v>0</v>
      </c>
      <c r="Y16" s="15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1">
        <f>SUM(OSRRefD22x_0)</f>
        <v>0</v>
      </c>
      <c r="E18" s="21"/>
      <c r="F18" s="32">
        <f t="shared" ref="F18:F20" si="0">IF(D$12=0,0,D18/D$12)</f>
        <v>0</v>
      </c>
      <c r="G18" s="21"/>
      <c r="H18" s="21">
        <f>SUM(OSRRefH22x_0)</f>
        <v>75.5</v>
      </c>
      <c r="I18" s="21"/>
      <c r="J18" s="32">
        <f t="shared" ref="J18:J20" si="1">IF(H$12=0,0,H18/H$12)</f>
        <v>0</v>
      </c>
      <c r="K18" s="4"/>
      <c r="L18" s="21">
        <f t="shared" ref="L18:L20" si="2">+D18-H18</f>
        <v>-75.5</v>
      </c>
      <c r="M18" s="4"/>
      <c r="N18" s="32">
        <f t="shared" ref="N18:N20" si="3">IF(H18=0,0,L18/H18)</f>
        <v>-1</v>
      </c>
      <c r="O18" s="10"/>
      <c r="P18" s="21">
        <f>SUM(OSRRefP22x_0)</f>
        <v>0</v>
      </c>
      <c r="Q18" s="21"/>
      <c r="R18" s="32">
        <f t="shared" ref="R18:R20" si="4">IF(P$12=0,0,P18/P$12)</f>
        <v>0</v>
      </c>
      <c r="S18" s="21"/>
      <c r="T18" s="21">
        <f>SUM(OSRRefT22x_0)</f>
        <v>151</v>
      </c>
      <c r="U18" s="21"/>
      <c r="V18" s="32">
        <f t="shared" ref="V18:V20" si="5">IF(T$12=0,0,T18/T$12)</f>
        <v>0</v>
      </c>
      <c r="W18" s="4"/>
      <c r="X18" s="21">
        <f t="shared" ref="X18:X20" si="6">+P18-T18</f>
        <v>-151</v>
      </c>
      <c r="Y18" s="4"/>
      <c r="Z18" s="32">
        <f t="shared" ref="Z18:Z20" si="7">IF(T18=0,0,X18/T18)</f>
        <v>-1</v>
      </c>
    </row>
    <row r="19" spans="1:26" s="28" customFormat="1" outlineLevel="1" collapsed="1" x14ac:dyDescent="0.3">
      <c r="A19" s="29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75.5</v>
      </c>
      <c r="I19" s="1"/>
      <c r="J19" s="5">
        <f t="shared" si="1"/>
        <v>0</v>
      </c>
      <c r="K19" s="1"/>
      <c r="L19" s="1">
        <f t="shared" si="2"/>
        <v>-75.5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151</v>
      </c>
      <c r="U19" s="1"/>
      <c r="V19" s="5">
        <f t="shared" si="5"/>
        <v>0</v>
      </c>
      <c r="W19" s="1"/>
      <c r="X19" s="1">
        <f t="shared" si="6"/>
        <v>-151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"6309", " - ", "TELEPHONE")</f>
        <v xml:space="preserve">          6309 - TELEPHONE</v>
      </c>
      <c r="C20" s="11"/>
      <c r="D20" s="7"/>
      <c r="E20" s="2"/>
      <c r="F20" s="8">
        <f t="shared" si="0"/>
        <v>0</v>
      </c>
      <c r="G20" s="2"/>
      <c r="H20" s="7">
        <v>75.5</v>
      </c>
      <c r="I20" s="2"/>
      <c r="J20" s="8">
        <f t="shared" si="1"/>
        <v>0</v>
      </c>
      <c r="K20" s="2"/>
      <c r="L20" s="7">
        <f t="shared" si="2"/>
        <v>-75.5</v>
      </c>
      <c r="M20" s="2"/>
      <c r="N20" s="8">
        <f t="shared" si="3"/>
        <v>-1</v>
      </c>
      <c r="O20" s="11"/>
      <c r="P20" s="7"/>
      <c r="Q20" s="2"/>
      <c r="R20" s="8">
        <f t="shared" si="4"/>
        <v>0</v>
      </c>
      <c r="S20" s="2"/>
      <c r="T20" s="7">
        <v>151</v>
      </c>
      <c r="U20" s="2"/>
      <c r="V20" s="8">
        <f t="shared" si="5"/>
        <v>0</v>
      </c>
      <c r="W20" s="2"/>
      <c r="X20" s="7">
        <f t="shared" si="6"/>
        <v>-151</v>
      </c>
      <c r="Y20" s="2"/>
      <c r="Z20" s="8">
        <f t="shared" si="7"/>
        <v>-1</v>
      </c>
    </row>
    <row r="21" spans="1:26" s="61" customFormat="1" x14ac:dyDescent="0.3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292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">
      <c r="A23" s="9"/>
      <c r="B23" s="10"/>
      <c r="C23" s="10"/>
      <c r="D23" s="3"/>
      <c r="E23" s="3"/>
      <c r="F23" s="6"/>
      <c r="G23" s="3"/>
      <c r="H23" s="3"/>
      <c r="I23" s="3"/>
      <c r="J23" s="6"/>
      <c r="K23" s="3"/>
      <c r="L23" s="3"/>
      <c r="M23" s="3"/>
      <c r="N23" s="6"/>
      <c r="O23" s="10"/>
      <c r="P23" s="3"/>
      <c r="Q23" s="3"/>
      <c r="R23" s="6"/>
      <c r="S23" s="3"/>
      <c r="T23" s="3"/>
      <c r="U23" s="3"/>
      <c r="V23" s="6"/>
      <c r="W23" s="3"/>
      <c r="X23" s="3"/>
      <c r="Y23" s="3"/>
      <c r="Z23" s="6"/>
    </row>
    <row r="24" spans="1:26" s="23" customFormat="1" x14ac:dyDescent="0.3">
      <c r="A24" s="10"/>
      <c r="B24" s="25" t="s">
        <v>276</v>
      </c>
      <c r="C24" s="25"/>
      <c r="D24" s="20">
        <f>+D16-D18+D22</f>
        <v>0</v>
      </c>
      <c r="E24" s="13"/>
      <c r="F24" s="22">
        <f>IF(D$12=0,0,D24/D$12)</f>
        <v>0</v>
      </c>
      <c r="G24" s="13"/>
      <c r="H24" s="20">
        <f>+H16-H18+H22</f>
        <v>-75.5</v>
      </c>
      <c r="I24" s="13"/>
      <c r="J24" s="22">
        <f>IF(H$12=0,0,H24/H$12)</f>
        <v>0</v>
      </c>
      <c r="K24" s="15"/>
      <c r="L24" s="20">
        <f>+D24-H24</f>
        <v>75.5</v>
      </c>
      <c r="M24" s="15"/>
      <c r="N24" s="22">
        <f>IF(H24=0,0,L24/H24)</f>
        <v>-1</v>
      </c>
      <c r="O24" s="26"/>
      <c r="P24" s="20">
        <f>+P16-P18+P22</f>
        <v>0</v>
      </c>
      <c r="Q24" s="13"/>
      <c r="R24" s="22">
        <f>IF(P$12=0,0,P24/P$12)</f>
        <v>0</v>
      </c>
      <c r="S24" s="13"/>
      <c r="T24" s="20">
        <f>+T16-T18+T22</f>
        <v>-151</v>
      </c>
      <c r="U24" s="13"/>
      <c r="V24" s="22">
        <f>IF(T$12=0,0,T24/T$12)</f>
        <v>0</v>
      </c>
      <c r="W24" s="15"/>
      <c r="X24" s="20">
        <f>+P24-T24</f>
        <v>151</v>
      </c>
      <c r="Y24" s="15"/>
      <c r="Z24" s="22">
        <f>IF(T24=0,0,X24/T24)</f>
        <v>-1</v>
      </c>
    </row>
    <row r="25" spans="1:26" x14ac:dyDescent="0.3">
      <c r="A25" s="9"/>
      <c r="B25" s="10"/>
      <c r="C25" s="9"/>
      <c r="D25" s="3"/>
      <c r="E25" s="3"/>
      <c r="F25" s="6"/>
      <c r="G25" s="3"/>
      <c r="H25" s="3"/>
      <c r="I25" s="3"/>
      <c r="J25" s="6"/>
      <c r="K25" s="3"/>
      <c r="L25" s="3"/>
      <c r="M25" s="3"/>
      <c r="N25" s="6"/>
      <c r="P25" s="3"/>
      <c r="Q25" s="3"/>
      <c r="R25" s="6"/>
      <c r="S25" s="3"/>
      <c r="T25" s="3"/>
      <c r="U25" s="3"/>
      <c r="V25" s="6"/>
      <c r="W25" s="3"/>
      <c r="X25" s="3"/>
      <c r="Y25" s="3"/>
      <c r="Z25" s="6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6"/>
      <c r="G27" s="3"/>
      <c r="H27" s="3"/>
      <c r="I27" s="3"/>
      <c r="J27" s="6"/>
      <c r="K27" s="3"/>
      <c r="L27" s="3"/>
      <c r="M27" s="3"/>
      <c r="N27" s="6"/>
      <c r="O27" s="10"/>
      <c r="P27" s="3"/>
      <c r="Q27" s="3"/>
      <c r="R27" s="6"/>
      <c r="S27" s="3"/>
      <c r="T27" s="3"/>
      <c r="U27" s="3"/>
      <c r="V27" s="6"/>
      <c r="W27" s="3"/>
      <c r="X27" s="3"/>
      <c r="Y27" s="3"/>
      <c r="Z27" s="6"/>
    </row>
    <row r="28" spans="1:26" s="23" customFormat="1" ht="15" thickBot="1" x14ac:dyDescent="0.35">
      <c r="A28" s="10"/>
      <c r="B28" s="25" t="s">
        <v>125</v>
      </c>
      <c r="C28" s="25"/>
      <c r="D28" s="33">
        <f>+D24-D26</f>
        <v>0</v>
      </c>
      <c r="E28" s="13"/>
      <c r="F28" s="36">
        <f>IF(D$12=0,0,D28/D$12)</f>
        <v>0</v>
      </c>
      <c r="G28" s="13"/>
      <c r="H28" s="33">
        <f>+H24-H26</f>
        <v>-75.5</v>
      </c>
      <c r="I28" s="13"/>
      <c r="J28" s="36">
        <f>IF(H$12=0,0,H28/H$12)</f>
        <v>0</v>
      </c>
      <c r="K28" s="15"/>
      <c r="L28" s="33">
        <f>D28-H28</f>
        <v>75.5</v>
      </c>
      <c r="M28" s="15"/>
      <c r="N28" s="36">
        <f>IF(H28=0,0,L28/H28)</f>
        <v>-1</v>
      </c>
      <c r="O28" s="26"/>
      <c r="P28" s="33">
        <f>+P24-P26</f>
        <v>0</v>
      </c>
      <c r="Q28" s="13"/>
      <c r="R28" s="36">
        <f>IF(P$12=0,0,P28/P$12)</f>
        <v>0</v>
      </c>
      <c r="S28" s="13"/>
      <c r="T28" s="33">
        <f>+T24-T26</f>
        <v>-151</v>
      </c>
      <c r="U28" s="13"/>
      <c r="V28" s="36">
        <f>IF(T$12=0,0,T28/T$12)</f>
        <v>0</v>
      </c>
      <c r="W28" s="15"/>
      <c r="X28" s="33">
        <f>P28-T28</f>
        <v>151</v>
      </c>
      <c r="Y28" s="15"/>
      <c r="Z28" s="36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6"/>
      <c r="G29" s="3"/>
      <c r="H29" s="3"/>
      <c r="I29" s="3"/>
      <c r="J29" s="6"/>
      <c r="K29" s="3"/>
      <c r="L29" s="3"/>
      <c r="M29" s="3"/>
      <c r="N29" s="6"/>
      <c r="P29" s="3"/>
      <c r="Q29" s="3"/>
      <c r="R29" s="6"/>
      <c r="S29" s="3"/>
      <c r="T29" s="3"/>
      <c r="U29" s="3"/>
      <c r="V29" s="6"/>
      <c r="W29" s="3"/>
      <c r="X29" s="3"/>
      <c r="Y29" s="3"/>
      <c r="Z29" s="6"/>
    </row>
    <row r="30" spans="1:26" x14ac:dyDescent="0.3">
      <c r="A30" s="9"/>
      <c r="B30" s="9"/>
      <c r="C30" s="9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293</v>
      </c>
      <c r="C31" s="25"/>
      <c r="D31" s="30">
        <f>SUM(D28:D30)</f>
        <v>0</v>
      </c>
      <c r="E31" s="13"/>
      <c r="F31" s="31">
        <f>IF(D$12=0,0,D31/D$12)</f>
        <v>0</v>
      </c>
      <c r="G31" s="13"/>
      <c r="H31" s="30">
        <f>SUM(H28:H30)</f>
        <v>-75.5</v>
      </c>
      <c r="I31" s="13"/>
      <c r="J31" s="31">
        <f>IF(H$12=0,0,H31/H$12)</f>
        <v>0</v>
      </c>
      <c r="K31" s="15"/>
      <c r="L31" s="30">
        <f>+D31-H31</f>
        <v>75.5</v>
      </c>
      <c r="M31" s="15"/>
      <c r="N31" s="31">
        <f>IF(H31=0,0,L31/H31)</f>
        <v>-1</v>
      </c>
      <c r="O31" s="26"/>
      <c r="P31" s="30">
        <f>SUM(P28:P30)</f>
        <v>0</v>
      </c>
      <c r="Q31" s="13"/>
      <c r="R31" s="31">
        <f>IF(P$12=0,0,P31/P$12)</f>
        <v>0</v>
      </c>
      <c r="S31" s="13"/>
      <c r="T31" s="30">
        <f>SUM(T28:T30)</f>
        <v>-151</v>
      </c>
      <c r="U31" s="13"/>
      <c r="V31" s="31">
        <f>IF(T$12=0,0,T31/T$12)</f>
        <v>0</v>
      </c>
      <c r="W31" s="15"/>
      <c r="X31" s="30">
        <f>+P31-T31</f>
        <v>151</v>
      </c>
      <c r="Y31" s="15"/>
      <c r="Z31" s="31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3">
      <c r="A33" s="9"/>
      <c r="B33" s="59">
        <v>44470.840542939812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3">
      <c r="A34" s="9"/>
      <c r="B34" s="58" t="s">
        <v>56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3">
      <c r="A35" s="9"/>
      <c r="B35" s="5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3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","444", " - ", "Parkside Dining Hall")</f>
        <v>Department 444 - Parkside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230888.82</v>
      </c>
      <c r="E12" s="4"/>
      <c r="F12" s="12"/>
      <c r="G12" s="4"/>
      <c r="H12" s="4">
        <f>SUM(OSRRefH13x_0)</f>
        <v>46671.08</v>
      </c>
      <c r="I12" s="4"/>
      <c r="J12" s="12"/>
      <c r="K12" s="4"/>
      <c r="L12" s="4">
        <f t="shared" ref="L12:L15" si="0">+D12-H12</f>
        <v>184217.74</v>
      </c>
      <c r="M12" s="4"/>
      <c r="N12" s="12">
        <f t="shared" ref="N12:N15" si="1">IF(H12=0,0,L12/H12)</f>
        <v>3.9471497124129113</v>
      </c>
      <c r="O12" s="10"/>
      <c r="P12" s="4">
        <f>SUM(OSRRefP13x_0)</f>
        <v>253876.17</v>
      </c>
      <c r="Q12" s="4"/>
      <c r="R12" s="12"/>
      <c r="S12" s="4"/>
      <c r="T12" s="4">
        <f>SUM(OSRRefT13x_0)</f>
        <v>46671.08</v>
      </c>
      <c r="U12" s="4"/>
      <c r="V12" s="12"/>
      <c r="W12" s="4"/>
      <c r="X12" s="4">
        <f t="shared" ref="X12:X15" si="2">+P12-T12</f>
        <v>207205.09000000003</v>
      </c>
      <c r="Y12" s="4"/>
      <c r="Z12" s="12">
        <f t="shared" ref="Z12:Z15" si="3">IF(T12=0,0,X12/T12)</f>
        <v>4.4396892036781672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--80.88</f>
        <v>80.88</v>
      </c>
      <c r="E13" s="2"/>
      <c r="F13" s="19"/>
      <c r="G13" s="2"/>
      <c r="H13" s="2">
        <f>--122.25</f>
        <v>122.25</v>
      </c>
      <c r="I13" s="2"/>
      <c r="J13" s="19"/>
      <c r="K13" s="2"/>
      <c r="L13" s="2">
        <f t="shared" si="0"/>
        <v>-41.370000000000005</v>
      </c>
      <c r="M13" s="2"/>
      <c r="N13" s="19">
        <f t="shared" si="1"/>
        <v>-0.33840490797546013</v>
      </c>
      <c r="O13" s="11"/>
      <c r="P13" s="2">
        <f>--187.52</f>
        <v>187.52</v>
      </c>
      <c r="Q13" s="2"/>
      <c r="R13" s="19"/>
      <c r="S13" s="2"/>
      <c r="T13" s="2">
        <f>--122.25</f>
        <v>122.25</v>
      </c>
      <c r="U13" s="2"/>
      <c r="V13" s="19"/>
      <c r="W13" s="2"/>
      <c r="X13" s="2">
        <f t="shared" si="2"/>
        <v>65.27000000000001</v>
      </c>
      <c r="Y13" s="2"/>
      <c r="Z13" s="19">
        <f t="shared" si="3"/>
        <v>0.53390593047034773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--229419.92</f>
        <v>229419.92</v>
      </c>
      <c r="E14" s="2"/>
      <c r="F14" s="19"/>
      <c r="G14" s="2"/>
      <c r="H14" s="2">
        <f>--38750.68</f>
        <v>38750.68</v>
      </c>
      <c r="I14" s="2"/>
      <c r="J14" s="19"/>
      <c r="K14" s="2"/>
      <c r="L14" s="2">
        <f t="shared" si="0"/>
        <v>190669.24000000002</v>
      </c>
      <c r="M14" s="2"/>
      <c r="N14" s="19">
        <f t="shared" si="1"/>
        <v>4.9204101708666794</v>
      </c>
      <c r="O14" s="11"/>
      <c r="P14" s="2">
        <f>--249019.92</f>
        <v>249019.92</v>
      </c>
      <c r="Q14" s="2"/>
      <c r="R14" s="19"/>
      <c r="S14" s="2"/>
      <c r="T14" s="2">
        <f>--38750.68</f>
        <v>38750.68</v>
      </c>
      <c r="U14" s="2"/>
      <c r="V14" s="19"/>
      <c r="W14" s="2"/>
      <c r="X14" s="2">
        <f t="shared" si="2"/>
        <v>210269.24000000002</v>
      </c>
      <c r="Y14" s="2"/>
      <c r="Z14" s="19">
        <f t="shared" si="3"/>
        <v>5.4262077465479317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--1388.02</f>
        <v>1388.02</v>
      </c>
      <c r="E15" s="2"/>
      <c r="F15" s="19"/>
      <c r="G15" s="2"/>
      <c r="H15" s="2">
        <f>--7798.15</f>
        <v>7798.15</v>
      </c>
      <c r="I15" s="2"/>
      <c r="J15" s="19"/>
      <c r="K15" s="2"/>
      <c r="L15" s="2">
        <f t="shared" si="0"/>
        <v>-6410.1299999999992</v>
      </c>
      <c r="M15" s="2"/>
      <c r="N15" s="19">
        <f t="shared" si="1"/>
        <v>-0.82200650154203236</v>
      </c>
      <c r="O15" s="11"/>
      <c r="P15" s="2">
        <f>--4668.73</f>
        <v>4668.7299999999996</v>
      </c>
      <c r="Q15" s="2"/>
      <c r="R15" s="19"/>
      <c r="S15" s="2"/>
      <c r="T15" s="2">
        <f>--7798.15</f>
        <v>7798.15</v>
      </c>
      <c r="U15" s="2"/>
      <c r="V15" s="19"/>
      <c r="W15" s="2"/>
      <c r="X15" s="2">
        <f t="shared" si="2"/>
        <v>-3129.42</v>
      </c>
      <c r="Y15" s="2"/>
      <c r="Z15" s="19">
        <f t="shared" si="3"/>
        <v>-0.40130287311734197</v>
      </c>
    </row>
    <row r="16" spans="1:26" x14ac:dyDescent="0.3">
      <c r="A16" s="9"/>
      <c r="B16" s="10"/>
      <c r="C16" s="9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91448.72</v>
      </c>
      <c r="E17" s="4"/>
      <c r="F17" s="12">
        <f t="shared" ref="F17:F19" si="4">IF(D$12=0,0,D17/D$12)</f>
        <v>0.39607253395811887</v>
      </c>
      <c r="G17" s="4"/>
      <c r="H17" s="4">
        <f>SUM(OSRRefH16x_0)</f>
        <v>32645.300000000003</v>
      </c>
      <c r="I17" s="4"/>
      <c r="J17" s="12">
        <f t="shared" ref="J17:J19" si="5">IF(H$12=0,0,H17/H$12)</f>
        <v>0.69947599241328895</v>
      </c>
      <c r="K17" s="4"/>
      <c r="L17" s="4">
        <f t="shared" ref="L17:L19" si="6">+D17-H17</f>
        <v>58803.42</v>
      </c>
      <c r="M17" s="4"/>
      <c r="N17" s="12">
        <f t="shared" ref="N17:N19" si="7">IF(H17=0,0,L17/H17)</f>
        <v>1.8012828799245217</v>
      </c>
      <c r="O17" s="10"/>
      <c r="P17" s="4">
        <f>SUM(OSRRefP16x_0)</f>
        <v>108577.56</v>
      </c>
      <c r="Q17" s="4"/>
      <c r="R17" s="12">
        <f t="shared" ref="R17:R19" si="8">IF(P$12=0,0,P17/P$12)</f>
        <v>0.42767921069551346</v>
      </c>
      <c r="S17" s="4"/>
      <c r="T17" s="4">
        <f>SUM(OSRRefT16x_0)</f>
        <v>32645.300000000003</v>
      </c>
      <c r="U17" s="4"/>
      <c r="V17" s="12">
        <f t="shared" ref="V17:V19" si="9">IF(T$12=0,0,T17/T$12)</f>
        <v>0.69947599241328895</v>
      </c>
      <c r="W17" s="4"/>
      <c r="X17" s="4">
        <f t="shared" ref="X17:X19" si="10">+P17-T17</f>
        <v>75932.259999999995</v>
      </c>
      <c r="Y17" s="4"/>
      <c r="Z17" s="12">
        <f t="shared" ref="Z17:Z19" si="11">IF(T17=0,0,X17/T17)</f>
        <v>2.3259783184715714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101379.72</v>
      </c>
      <c r="E18" s="2"/>
      <c r="F18" s="19">
        <f t="shared" si="4"/>
        <v>0.4390845775902012</v>
      </c>
      <c r="G18" s="2"/>
      <c r="H18" s="2">
        <v>70404.3</v>
      </c>
      <c r="I18" s="2"/>
      <c r="J18" s="19">
        <f t="shared" si="5"/>
        <v>1.5085209084512294</v>
      </c>
      <c r="K18" s="2"/>
      <c r="L18" s="2">
        <f t="shared" si="6"/>
        <v>30975.42</v>
      </c>
      <c r="M18" s="2"/>
      <c r="N18" s="19">
        <f t="shared" si="7"/>
        <v>0.43996488850823029</v>
      </c>
      <c r="O18" s="11"/>
      <c r="P18" s="2">
        <v>119348.56</v>
      </c>
      <c r="Q18" s="2"/>
      <c r="R18" s="19">
        <f t="shared" si="8"/>
        <v>0.47010540611196394</v>
      </c>
      <c r="S18" s="2"/>
      <c r="T18" s="2">
        <v>70404.3</v>
      </c>
      <c r="U18" s="2"/>
      <c r="V18" s="19">
        <f t="shared" si="9"/>
        <v>1.5085209084512294</v>
      </c>
      <c r="W18" s="2"/>
      <c r="X18" s="2">
        <f t="shared" si="10"/>
        <v>48944.259999999995</v>
      </c>
      <c r="Y18" s="2"/>
      <c r="Z18" s="19">
        <f t="shared" si="11"/>
        <v>0.69518850411125444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-9931</v>
      </c>
      <c r="E19" s="2"/>
      <c r="F19" s="19">
        <f t="shared" si="4"/>
        <v>-4.3012043632082317E-2</v>
      </c>
      <c r="G19" s="2"/>
      <c r="H19" s="2">
        <v>-37759</v>
      </c>
      <c r="I19" s="2"/>
      <c r="J19" s="19">
        <f t="shared" si="5"/>
        <v>-0.80904491603794038</v>
      </c>
      <c r="K19" s="2"/>
      <c r="L19" s="2">
        <f t="shared" si="6"/>
        <v>27828</v>
      </c>
      <c r="M19" s="2"/>
      <c r="N19" s="19">
        <f t="shared" si="7"/>
        <v>-0.73698985672290052</v>
      </c>
      <c r="O19" s="11"/>
      <c r="P19" s="2">
        <v>-10771</v>
      </c>
      <c r="Q19" s="2"/>
      <c r="R19" s="19">
        <f t="shared" si="8"/>
        <v>-4.2426195416450464E-2</v>
      </c>
      <c r="S19" s="2"/>
      <c r="T19" s="2">
        <v>-37759</v>
      </c>
      <c r="U19" s="2"/>
      <c r="V19" s="19">
        <f t="shared" si="9"/>
        <v>-0.80904491603794038</v>
      </c>
      <c r="W19" s="2"/>
      <c r="X19" s="2">
        <f t="shared" si="10"/>
        <v>26988</v>
      </c>
      <c r="Y19" s="2"/>
      <c r="Z19" s="19">
        <f t="shared" si="11"/>
        <v>-0.71474350485976856</v>
      </c>
    </row>
    <row r="20" spans="1:26" x14ac:dyDescent="0.3">
      <c r="A20" s="9"/>
      <c r="B20" s="10"/>
      <c r="C20" s="10"/>
      <c r="D20" s="3"/>
      <c r="E20" s="3"/>
      <c r="F20" s="6"/>
      <c r="G20" s="3"/>
      <c r="H20" s="3"/>
      <c r="I20" s="3"/>
      <c r="J20" s="6"/>
      <c r="K20" s="3"/>
      <c r="L20" s="3"/>
      <c r="M20" s="3"/>
      <c r="N20" s="6"/>
      <c r="O20" s="10"/>
      <c r="P20" s="3"/>
      <c r="Q20" s="3"/>
      <c r="R20" s="6"/>
      <c r="S20" s="3"/>
      <c r="T20" s="3"/>
      <c r="U20" s="3"/>
      <c r="V20" s="6"/>
      <c r="W20" s="3"/>
      <c r="X20" s="3"/>
      <c r="Y20" s="3"/>
      <c r="Z20" s="6"/>
    </row>
    <row r="21" spans="1:26" s="23" customFormat="1" x14ac:dyDescent="0.3">
      <c r="A21" s="10"/>
      <c r="B21" s="25" t="s">
        <v>107</v>
      </c>
      <c r="C21" s="25"/>
      <c r="D21" s="20">
        <f>D12-D17</f>
        <v>139440.1</v>
      </c>
      <c r="E21" s="13"/>
      <c r="F21" s="22">
        <f>IF(D$12=0,0,D21/D$12)</f>
        <v>0.60392746604188108</v>
      </c>
      <c r="G21" s="13"/>
      <c r="H21" s="20">
        <f>H12-H17</f>
        <v>14025.779999999999</v>
      </c>
      <c r="I21" s="13"/>
      <c r="J21" s="22">
        <f>IF(H$12=0,0,H21/H$12)</f>
        <v>0.30052400758671105</v>
      </c>
      <c r="K21" s="15"/>
      <c r="L21" s="20">
        <f>+D21-H21</f>
        <v>125414.32</v>
      </c>
      <c r="M21" s="15"/>
      <c r="N21" s="22">
        <f>IF(H21=0,0,L21/H21)</f>
        <v>8.9417002120381195</v>
      </c>
      <c r="O21" s="26"/>
      <c r="P21" s="20">
        <f>P12-P17</f>
        <v>145298.61000000002</v>
      </c>
      <c r="Q21" s="13"/>
      <c r="R21" s="22">
        <f>IF(P$12=0,0,P21/P$12)</f>
        <v>0.5723207893044866</v>
      </c>
      <c r="S21" s="13"/>
      <c r="T21" s="20">
        <f>T12-T17</f>
        <v>14025.779999999999</v>
      </c>
      <c r="U21" s="13"/>
      <c r="V21" s="22">
        <f>IF(T$12=0,0,T21/T$12)</f>
        <v>0.30052400758671105</v>
      </c>
      <c r="W21" s="15"/>
      <c r="X21" s="20">
        <f>+P21-T21</f>
        <v>131272.83000000002</v>
      </c>
      <c r="Y21" s="15"/>
      <c r="Z21" s="22">
        <f>IF(T21=0,0,X21/T21)</f>
        <v>9.3593960549787631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1">
        <f>SUM(OSRRefD22x_0)</f>
        <v>129711.97</v>
      </c>
      <c r="E23" s="21"/>
      <c r="F23" s="32">
        <f t="shared" ref="F23:F33" si="12">IF(D$12=0,0,D23/D$12)</f>
        <v>0.56179407041016538</v>
      </c>
      <c r="G23" s="21"/>
      <c r="H23" s="21">
        <f>SUM(OSRRefH22x_0)</f>
        <v>94892.489999999991</v>
      </c>
      <c r="I23" s="21"/>
      <c r="J23" s="32">
        <f t="shared" ref="J23:J33" si="13">IF(H$12=0,0,H23/H$12)</f>
        <v>2.0332182156487484</v>
      </c>
      <c r="K23" s="4"/>
      <c r="L23" s="21">
        <f t="shared" ref="L23:L33" si="14">+D23-H23</f>
        <v>34819.48000000001</v>
      </c>
      <c r="M23" s="4"/>
      <c r="N23" s="32">
        <f t="shared" ref="N23:N33" si="15">IF(H23=0,0,L23/H23)</f>
        <v>0.36693609789352155</v>
      </c>
      <c r="O23" s="10"/>
      <c r="P23" s="21">
        <f>SUM(OSRRefP22x_0)</f>
        <v>221402.71999999991</v>
      </c>
      <c r="Q23" s="21"/>
      <c r="R23" s="32">
        <f t="shared" ref="R23:R33" si="16">IF(P$12=0,0,P23/P$12)</f>
        <v>0.87208941272432106</v>
      </c>
      <c r="S23" s="21"/>
      <c r="T23" s="21">
        <f>SUM(OSRRefT22x_0)</f>
        <v>159445.33000000002</v>
      </c>
      <c r="U23" s="21"/>
      <c r="V23" s="32">
        <f t="shared" ref="V23:V33" si="17">IF(T$12=0,0,T23/T$12)</f>
        <v>3.4163625525700287</v>
      </c>
      <c r="W23" s="4"/>
      <c r="X23" s="21">
        <f t="shared" ref="X23:X33" si="18">+P23-T23</f>
        <v>61957.389999999898</v>
      </c>
      <c r="Y23" s="4"/>
      <c r="Z23" s="32">
        <f t="shared" ref="Z23:Z33" si="19">IF(T23=0,0,X23/T23)</f>
        <v>0.38858077561757309</v>
      </c>
    </row>
    <row r="24" spans="1:26" s="28" customFormat="1" outlineLevel="1" collapsed="1" x14ac:dyDescent="0.3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30558.639999999999</v>
      </c>
      <c r="E24" s="1"/>
      <c r="F24" s="5">
        <f t="shared" si="12"/>
        <v>0.13235218578361654</v>
      </c>
      <c r="G24" s="1"/>
      <c r="H24" s="1">
        <f>SUM(OSRRefH22_0x_0)</f>
        <v>27394.100000000002</v>
      </c>
      <c r="I24" s="1"/>
      <c r="J24" s="5">
        <f t="shared" si="13"/>
        <v>0.5869609188388184</v>
      </c>
      <c r="K24" s="1"/>
      <c r="L24" s="1">
        <f t="shared" si="14"/>
        <v>3164.5399999999972</v>
      </c>
      <c r="M24" s="1"/>
      <c r="N24" s="5">
        <f t="shared" si="15"/>
        <v>0.11551903512070107</v>
      </c>
      <c r="O24" s="14"/>
      <c r="P24" s="1">
        <f>SUM(OSRRefP22_0x_0)</f>
        <v>57310.9</v>
      </c>
      <c r="Q24" s="1"/>
      <c r="R24" s="5">
        <f t="shared" si="16"/>
        <v>0.2257435189762001</v>
      </c>
      <c r="S24" s="1"/>
      <c r="T24" s="1">
        <f>SUM(OSRRefT22_0x_0)</f>
        <v>55803.909999999996</v>
      </c>
      <c r="U24" s="1"/>
      <c r="V24" s="5">
        <f t="shared" si="17"/>
        <v>1.1956849937905871</v>
      </c>
      <c r="W24" s="1"/>
      <c r="X24" s="1">
        <f t="shared" si="18"/>
        <v>1506.9900000000052</v>
      </c>
      <c r="Y24" s="1"/>
      <c r="Z24" s="5">
        <f t="shared" si="19"/>
        <v>2.7005096954675852E-2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7">
        <v>4392.45</v>
      </c>
      <c r="E25" s="2"/>
      <c r="F25" s="8">
        <f t="shared" si="12"/>
        <v>1.9024091335388175E-2</v>
      </c>
      <c r="G25" s="2"/>
      <c r="H25" s="7">
        <v>2747.04</v>
      </c>
      <c r="I25" s="2"/>
      <c r="J25" s="8">
        <f t="shared" si="13"/>
        <v>5.8859576422915429E-2</v>
      </c>
      <c r="K25" s="2"/>
      <c r="L25" s="7">
        <f t="shared" si="14"/>
        <v>1645.4099999999999</v>
      </c>
      <c r="M25" s="2"/>
      <c r="N25" s="8">
        <f t="shared" si="15"/>
        <v>0.59897562467237453</v>
      </c>
      <c r="O25" s="11"/>
      <c r="P25" s="7">
        <v>7590.14</v>
      </c>
      <c r="Q25" s="2"/>
      <c r="R25" s="8">
        <f t="shared" si="16"/>
        <v>2.9897016328866155E-2</v>
      </c>
      <c r="S25" s="2"/>
      <c r="T25" s="7">
        <v>5240.2700000000004</v>
      </c>
      <c r="U25" s="2"/>
      <c r="V25" s="8">
        <f t="shared" si="17"/>
        <v>0.11228088143664128</v>
      </c>
      <c r="W25" s="2"/>
      <c r="X25" s="7">
        <f t="shared" si="18"/>
        <v>2349.87</v>
      </c>
      <c r="Y25" s="2"/>
      <c r="Z25" s="8">
        <f t="shared" si="19"/>
        <v>0.4484253673951914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7">
        <v>2075.0500000000002</v>
      </c>
      <c r="E26" s="2"/>
      <c r="F26" s="8">
        <f t="shared" si="12"/>
        <v>8.98722597308956E-3</v>
      </c>
      <c r="G26" s="2"/>
      <c r="H26" s="7">
        <v>1593.48</v>
      </c>
      <c r="I26" s="2"/>
      <c r="J26" s="8">
        <f t="shared" si="13"/>
        <v>3.4142771069364579E-2</v>
      </c>
      <c r="K26" s="2"/>
      <c r="L26" s="7">
        <f t="shared" si="14"/>
        <v>481.57000000000016</v>
      </c>
      <c r="M26" s="2"/>
      <c r="N26" s="8">
        <f t="shared" si="15"/>
        <v>0.30221276702562955</v>
      </c>
      <c r="O26" s="11"/>
      <c r="P26" s="7">
        <v>3575.02</v>
      </c>
      <c r="Q26" s="2"/>
      <c r="R26" s="8">
        <f t="shared" si="16"/>
        <v>1.4081747018635108E-2</v>
      </c>
      <c r="S26" s="2"/>
      <c r="T26" s="7">
        <v>2990.4</v>
      </c>
      <c r="U26" s="2"/>
      <c r="V26" s="8">
        <f t="shared" si="17"/>
        <v>6.4073940435918769E-2</v>
      </c>
      <c r="W26" s="2"/>
      <c r="X26" s="7">
        <f t="shared" si="18"/>
        <v>584.61999999999989</v>
      </c>
      <c r="Y26" s="2"/>
      <c r="Z26" s="8">
        <f t="shared" si="19"/>
        <v>0.19549892990904222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7">
        <v>16426.810000000001</v>
      </c>
      <c r="E27" s="2"/>
      <c r="F27" s="8">
        <f t="shared" si="12"/>
        <v>7.1145974066652518E-2</v>
      </c>
      <c r="G27" s="2"/>
      <c r="H27" s="7">
        <v>16509.650000000001</v>
      </c>
      <c r="I27" s="2"/>
      <c r="J27" s="8">
        <f t="shared" si="13"/>
        <v>0.35374476013839834</v>
      </c>
      <c r="K27" s="2"/>
      <c r="L27" s="7">
        <f t="shared" si="14"/>
        <v>-82.840000000000146</v>
      </c>
      <c r="M27" s="2"/>
      <c r="N27" s="8">
        <f t="shared" si="15"/>
        <v>-5.0176714830417442E-3</v>
      </c>
      <c r="O27" s="11"/>
      <c r="P27" s="7">
        <v>31464.05</v>
      </c>
      <c r="Q27" s="2"/>
      <c r="R27" s="8">
        <f t="shared" si="16"/>
        <v>0.12393463317175456</v>
      </c>
      <c r="S27" s="2"/>
      <c r="T27" s="7">
        <v>33019.300000000003</v>
      </c>
      <c r="U27" s="2"/>
      <c r="V27" s="8">
        <f t="shared" si="17"/>
        <v>0.70748952027679668</v>
      </c>
      <c r="W27" s="2"/>
      <c r="X27" s="7">
        <f t="shared" si="18"/>
        <v>-1555.2500000000036</v>
      </c>
      <c r="Y27" s="2"/>
      <c r="Z27" s="8">
        <f t="shared" si="19"/>
        <v>-4.7101240789477777E-2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149.87</v>
      </c>
      <c r="E28" s="2"/>
      <c r="F28" s="8">
        <f t="shared" si="12"/>
        <v>6.4910028991442721E-4</v>
      </c>
      <c r="G28" s="2"/>
      <c r="H28" s="7">
        <v>96.57</v>
      </c>
      <c r="I28" s="2"/>
      <c r="J28" s="8">
        <f t="shared" si="13"/>
        <v>2.0691614593019913E-3</v>
      </c>
      <c r="K28" s="2"/>
      <c r="L28" s="7">
        <f t="shared" si="14"/>
        <v>53.300000000000011</v>
      </c>
      <c r="M28" s="2"/>
      <c r="N28" s="8">
        <f t="shared" si="15"/>
        <v>0.55193124158641416</v>
      </c>
      <c r="O28" s="11"/>
      <c r="P28" s="7">
        <v>258.2</v>
      </c>
      <c r="Q28" s="2"/>
      <c r="R28" s="8">
        <f t="shared" si="16"/>
        <v>1.0170312558283826E-3</v>
      </c>
      <c r="S28" s="2"/>
      <c r="T28" s="7">
        <v>253.39</v>
      </c>
      <c r="U28" s="2"/>
      <c r="V28" s="8">
        <f t="shared" si="17"/>
        <v>5.4292722602519586E-3</v>
      </c>
      <c r="W28" s="2"/>
      <c r="X28" s="7">
        <f t="shared" si="18"/>
        <v>4.8100000000000023</v>
      </c>
      <c r="Y28" s="2"/>
      <c r="Z28" s="8">
        <f t="shared" si="19"/>
        <v>1.8982595998263557E-2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7">
        <v>1434.5</v>
      </c>
      <c r="E29" s="2"/>
      <c r="F29" s="8">
        <f t="shared" si="12"/>
        <v>6.212946993275811E-3</v>
      </c>
      <c r="G29" s="2"/>
      <c r="H29" s="7">
        <v>1457.5</v>
      </c>
      <c r="I29" s="2"/>
      <c r="J29" s="8">
        <f t="shared" si="13"/>
        <v>3.1229189468081731E-2</v>
      </c>
      <c r="K29" s="2"/>
      <c r="L29" s="7">
        <f t="shared" si="14"/>
        <v>-23</v>
      </c>
      <c r="M29" s="2"/>
      <c r="N29" s="8">
        <f t="shared" si="15"/>
        <v>-1.5780445969125215E-2</v>
      </c>
      <c r="O29" s="11"/>
      <c r="P29" s="7">
        <v>2869</v>
      </c>
      <c r="Q29" s="2"/>
      <c r="R29" s="8">
        <f t="shared" si="16"/>
        <v>1.130078494566859E-2</v>
      </c>
      <c r="S29" s="2"/>
      <c r="T29" s="7">
        <v>3643.75</v>
      </c>
      <c r="U29" s="2"/>
      <c r="V29" s="8">
        <f t="shared" si="17"/>
        <v>7.8072973670204326E-2</v>
      </c>
      <c r="W29" s="2"/>
      <c r="X29" s="7">
        <f t="shared" si="18"/>
        <v>-774.75</v>
      </c>
      <c r="Y29" s="2"/>
      <c r="Z29" s="8">
        <f t="shared" si="19"/>
        <v>-0.21262435677530017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7">
        <v>691.24</v>
      </c>
      <c r="E30" s="2"/>
      <c r="F30" s="8">
        <f t="shared" si="12"/>
        <v>2.9938218749612907E-3</v>
      </c>
      <c r="G30" s="2"/>
      <c r="H30" s="7">
        <v>503.56</v>
      </c>
      <c r="I30" s="2"/>
      <c r="J30" s="8">
        <f t="shared" si="13"/>
        <v>1.0789551045315428E-2</v>
      </c>
      <c r="K30" s="2"/>
      <c r="L30" s="7">
        <f t="shared" si="14"/>
        <v>187.68</v>
      </c>
      <c r="M30" s="2"/>
      <c r="N30" s="8">
        <f t="shared" si="15"/>
        <v>0.37270633092382238</v>
      </c>
      <c r="O30" s="11"/>
      <c r="P30" s="7">
        <v>1114.27</v>
      </c>
      <c r="Q30" s="2"/>
      <c r="R30" s="8">
        <f t="shared" si="16"/>
        <v>4.3890295020600004E-3</v>
      </c>
      <c r="S30" s="2"/>
      <c r="T30" s="7">
        <v>1255.92</v>
      </c>
      <c r="U30" s="2"/>
      <c r="V30" s="8">
        <f t="shared" si="17"/>
        <v>2.6910026508921586E-2</v>
      </c>
      <c r="W30" s="2"/>
      <c r="X30" s="7">
        <f t="shared" si="18"/>
        <v>-141.65000000000009</v>
      </c>
      <c r="Y30" s="2"/>
      <c r="Z30" s="8">
        <f t="shared" si="19"/>
        <v>-0.11278584623224416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7">
        <v>2542.33</v>
      </c>
      <c r="E31" s="2"/>
      <c r="F31" s="8">
        <f t="shared" si="12"/>
        <v>1.1011057183279813E-2</v>
      </c>
      <c r="G31" s="2"/>
      <c r="H31" s="7">
        <v>2382.3000000000002</v>
      </c>
      <c r="I31" s="2"/>
      <c r="J31" s="8">
        <f t="shared" si="13"/>
        <v>5.1044458366937301E-2</v>
      </c>
      <c r="K31" s="2"/>
      <c r="L31" s="7">
        <f t="shared" si="14"/>
        <v>160.02999999999975</v>
      </c>
      <c r="M31" s="2"/>
      <c r="N31" s="8">
        <f t="shared" si="15"/>
        <v>6.7174579188179373E-2</v>
      </c>
      <c r="O31" s="11"/>
      <c r="P31" s="7">
        <v>5036.37</v>
      </c>
      <c r="Q31" s="2"/>
      <c r="R31" s="8">
        <f t="shared" si="16"/>
        <v>1.9837899713076652E-2</v>
      </c>
      <c r="S31" s="2"/>
      <c r="T31" s="7">
        <v>4748.4799999999996</v>
      </c>
      <c r="U31" s="2"/>
      <c r="V31" s="8">
        <f t="shared" si="17"/>
        <v>0.10174352082703035</v>
      </c>
      <c r="W31" s="2"/>
      <c r="X31" s="7">
        <f t="shared" si="18"/>
        <v>287.89000000000033</v>
      </c>
      <c r="Y31" s="2"/>
      <c r="Z31" s="8">
        <f t="shared" si="19"/>
        <v>6.0627821955657461E-2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7">
        <v>1790.8</v>
      </c>
      <c r="E32" s="2"/>
      <c r="F32" s="8">
        <f t="shared" si="12"/>
        <v>7.7561139599570039E-3</v>
      </c>
      <c r="G32" s="2"/>
      <c r="H32" s="7">
        <v>1504</v>
      </c>
      <c r="I32" s="2"/>
      <c r="J32" s="8">
        <f t="shared" si="13"/>
        <v>3.2225523814747803E-2</v>
      </c>
      <c r="K32" s="2"/>
      <c r="L32" s="7">
        <f t="shared" si="14"/>
        <v>286.79999999999995</v>
      </c>
      <c r="M32" s="2"/>
      <c r="N32" s="8">
        <f t="shared" si="15"/>
        <v>0.1906914893617021</v>
      </c>
      <c r="O32" s="11"/>
      <c r="P32" s="7">
        <v>3514.8</v>
      </c>
      <c r="Q32" s="2"/>
      <c r="R32" s="8">
        <f t="shared" si="16"/>
        <v>1.384454476369326E-2</v>
      </c>
      <c r="S32" s="2"/>
      <c r="T32" s="7">
        <v>3008</v>
      </c>
      <c r="U32" s="2"/>
      <c r="V32" s="8">
        <f t="shared" si="17"/>
        <v>6.4451047629495606E-2</v>
      </c>
      <c r="W32" s="2"/>
      <c r="X32" s="7">
        <f t="shared" si="18"/>
        <v>506.80000000000018</v>
      </c>
      <c r="Y32" s="2"/>
      <c r="Z32" s="8">
        <f t="shared" si="19"/>
        <v>0.16848404255319155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7">
        <v>1055.5899999999999</v>
      </c>
      <c r="E33" s="2"/>
      <c r="F33" s="8">
        <f t="shared" si="12"/>
        <v>4.5718541070979522E-3</v>
      </c>
      <c r="G33" s="2"/>
      <c r="H33" s="7">
        <v>600</v>
      </c>
      <c r="I33" s="2"/>
      <c r="J33" s="8">
        <f t="shared" si="13"/>
        <v>1.2855927053755772E-2</v>
      </c>
      <c r="K33" s="2"/>
      <c r="L33" s="7">
        <f t="shared" si="14"/>
        <v>455.58999999999992</v>
      </c>
      <c r="M33" s="2"/>
      <c r="N33" s="8">
        <f t="shared" si="15"/>
        <v>0.75931666666666653</v>
      </c>
      <c r="O33" s="11"/>
      <c r="P33" s="7">
        <v>1889.05</v>
      </c>
      <c r="Q33" s="2"/>
      <c r="R33" s="8">
        <f t="shared" si="16"/>
        <v>7.4408322766173754E-3</v>
      </c>
      <c r="S33" s="2"/>
      <c r="T33" s="7">
        <v>1644.4</v>
      </c>
      <c r="U33" s="2"/>
      <c r="V33" s="8">
        <f t="shared" si="17"/>
        <v>3.5233810745326659E-2</v>
      </c>
      <c r="W33" s="2"/>
      <c r="X33" s="7">
        <f t="shared" si="18"/>
        <v>244.64999999999986</v>
      </c>
      <c r="Y33" s="2"/>
      <c r="Z33" s="8">
        <f t="shared" si="19"/>
        <v>0.14877766966674766</v>
      </c>
    </row>
    <row r="34" spans="1:26" s="28" customFormat="1" outlineLevel="1" collapsed="1" x14ac:dyDescent="0.3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60842.899999999994</v>
      </c>
      <c r="E34" s="1"/>
      <c r="F34" s="5">
        <f t="shared" ref="F34:F39" si="20">IF(D$12=0,0,D34/D$12)</f>
        <v>0.26351600740131115</v>
      </c>
      <c r="G34" s="1"/>
      <c r="H34" s="1">
        <f>SUM(OSRRefH22_1x_0)</f>
        <v>42549.43</v>
      </c>
      <c r="I34" s="1"/>
      <c r="J34" s="5">
        <f t="shared" ref="J34:J39" si="21">IF(H$12=0,0,H34/H$12)</f>
        <v>0.91168728043147917</v>
      </c>
      <c r="K34" s="1"/>
      <c r="L34" s="1">
        <f t="shared" ref="L34:L39" si="22">+D34-H34</f>
        <v>18293.469999999994</v>
      </c>
      <c r="M34" s="1"/>
      <c r="N34" s="5">
        <f t="shared" ref="N34:N39" si="23">IF(H34=0,0,L34/H34)</f>
        <v>0.42993454906446443</v>
      </c>
      <c r="O34" s="14"/>
      <c r="P34" s="1">
        <f>SUM(OSRRefP22_1x_0)</f>
        <v>111446.46</v>
      </c>
      <c r="Q34" s="1"/>
      <c r="R34" s="5">
        <f t="shared" ref="R34:R39" si="24">IF(P$12=0,0,P34/P$12)</f>
        <v>0.4389796017483642</v>
      </c>
      <c r="S34" s="1"/>
      <c r="T34" s="1">
        <f>SUM(OSRRefT22_1x_0)</f>
        <v>75690.039999999994</v>
      </c>
      <c r="U34" s="1"/>
      <c r="V34" s="5">
        <f t="shared" ref="V34:V39" si="25">IF(T$12=0,0,T34/T$12)</f>
        <v>1.6217760548930942</v>
      </c>
      <c r="W34" s="1"/>
      <c r="X34" s="1">
        <f t="shared" ref="X34:X39" si="26">+P34-T34</f>
        <v>35756.420000000013</v>
      </c>
      <c r="Y34" s="1"/>
      <c r="Z34" s="5">
        <f t="shared" ref="Z34:Z39" si="27">IF(T34=0,0,X34/T34)</f>
        <v>0.472405880615204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7">
        <v>15794.86</v>
      </c>
      <c r="E35" s="2"/>
      <c r="F35" s="8">
        <f t="shared" si="20"/>
        <v>6.8408942451176291E-2</v>
      </c>
      <c r="G35" s="2"/>
      <c r="H35" s="7">
        <v>15464.24</v>
      </c>
      <c r="I35" s="2"/>
      <c r="J35" s="8">
        <f t="shared" si="21"/>
        <v>0.33134523563628693</v>
      </c>
      <c r="K35" s="2"/>
      <c r="L35" s="7">
        <f t="shared" si="22"/>
        <v>330.6200000000008</v>
      </c>
      <c r="M35" s="2"/>
      <c r="N35" s="8">
        <f t="shared" si="23"/>
        <v>2.1379647496417593E-2</v>
      </c>
      <c r="O35" s="11"/>
      <c r="P35" s="7">
        <v>35088.78</v>
      </c>
      <c r="Q35" s="2"/>
      <c r="R35" s="8">
        <f t="shared" si="24"/>
        <v>0.13821218431016979</v>
      </c>
      <c r="S35" s="2"/>
      <c r="T35" s="7">
        <v>33785.839999999997</v>
      </c>
      <c r="U35" s="2"/>
      <c r="V35" s="8">
        <f t="shared" si="25"/>
        <v>0.72391382414977312</v>
      </c>
      <c r="W35" s="2"/>
      <c r="X35" s="7">
        <f t="shared" si="26"/>
        <v>1302.9400000000023</v>
      </c>
      <c r="Y35" s="2"/>
      <c r="Z35" s="8">
        <f t="shared" si="27"/>
        <v>3.8564676799511345E-2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7">
        <v>18809.28</v>
      </c>
      <c r="E36" s="2"/>
      <c r="F36" s="8">
        <f t="shared" si="20"/>
        <v>8.1464663382142102E-2</v>
      </c>
      <c r="G36" s="2"/>
      <c r="H36" s="7">
        <v>14453.09</v>
      </c>
      <c r="I36" s="2"/>
      <c r="J36" s="8">
        <f t="shared" si="21"/>
        <v>0.30967978456894502</v>
      </c>
      <c r="K36" s="2"/>
      <c r="L36" s="7">
        <f t="shared" si="22"/>
        <v>4356.1899999999987</v>
      </c>
      <c r="M36" s="2"/>
      <c r="N36" s="8">
        <f t="shared" si="23"/>
        <v>0.30140198393561507</v>
      </c>
      <c r="O36" s="11"/>
      <c r="P36" s="7">
        <v>38215.25</v>
      </c>
      <c r="Q36" s="2"/>
      <c r="R36" s="8">
        <f t="shared" si="24"/>
        <v>0.15052712509409608</v>
      </c>
      <c r="S36" s="2"/>
      <c r="T36" s="7">
        <v>26418.1</v>
      </c>
      <c r="U36" s="2"/>
      <c r="V36" s="8">
        <f t="shared" si="25"/>
        <v>0.56604861083137559</v>
      </c>
      <c r="W36" s="2"/>
      <c r="X36" s="7">
        <f t="shared" si="26"/>
        <v>11797.150000000001</v>
      </c>
      <c r="Y36" s="2"/>
      <c r="Z36" s="8">
        <f t="shared" si="27"/>
        <v>0.44655558121136651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7">
        <v>8216.98</v>
      </c>
      <c r="E37" s="2"/>
      <c r="F37" s="8">
        <f t="shared" si="20"/>
        <v>3.558847067605958E-2</v>
      </c>
      <c r="G37" s="2"/>
      <c r="H37" s="7">
        <v>953.1</v>
      </c>
      <c r="I37" s="2"/>
      <c r="J37" s="8">
        <f t="shared" si="21"/>
        <v>2.0421640124891047E-2</v>
      </c>
      <c r="K37" s="2"/>
      <c r="L37" s="7">
        <f t="shared" si="22"/>
        <v>7263.8799999999992</v>
      </c>
      <c r="M37" s="2"/>
      <c r="N37" s="8">
        <f t="shared" si="23"/>
        <v>7.6213199034728767</v>
      </c>
      <c r="O37" s="11"/>
      <c r="P37" s="7">
        <v>12842.86</v>
      </c>
      <c r="Q37" s="2"/>
      <c r="R37" s="8">
        <f t="shared" si="24"/>
        <v>5.0587103153478329E-2</v>
      </c>
      <c r="S37" s="2"/>
      <c r="T37" s="7">
        <v>953.1</v>
      </c>
      <c r="U37" s="2"/>
      <c r="V37" s="8">
        <f t="shared" si="25"/>
        <v>2.0421640124891047E-2</v>
      </c>
      <c r="W37" s="2"/>
      <c r="X37" s="7">
        <f t="shared" si="26"/>
        <v>11889.76</v>
      </c>
      <c r="Y37" s="2"/>
      <c r="Z37" s="8">
        <f t="shared" si="27"/>
        <v>12.474829503724688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7">
        <v>16392.32</v>
      </c>
      <c r="E38" s="2"/>
      <c r="F38" s="8">
        <f t="shared" si="20"/>
        <v>7.0996594811303548E-2</v>
      </c>
      <c r="G38" s="2"/>
      <c r="H38" s="7">
        <v>11062.67</v>
      </c>
      <c r="I38" s="2"/>
      <c r="J38" s="8">
        <f t="shared" si="21"/>
        <v>0.23703479756628729</v>
      </c>
      <c r="K38" s="2"/>
      <c r="L38" s="7">
        <f t="shared" si="22"/>
        <v>5329.65</v>
      </c>
      <c r="M38" s="2"/>
      <c r="N38" s="8">
        <f t="shared" si="23"/>
        <v>0.48176886773265404</v>
      </c>
      <c r="O38" s="11"/>
      <c r="P38" s="7">
        <v>23670.11</v>
      </c>
      <c r="Q38" s="2"/>
      <c r="R38" s="8">
        <f t="shared" si="24"/>
        <v>9.3234863279999844E-2</v>
      </c>
      <c r="S38" s="2"/>
      <c r="T38" s="7">
        <v>13916.67</v>
      </c>
      <c r="U38" s="2"/>
      <c r="V38" s="8">
        <f t="shared" si="25"/>
        <v>0.29818615725198561</v>
      </c>
      <c r="W38" s="2"/>
      <c r="X38" s="7">
        <f t="shared" si="26"/>
        <v>9753.44</v>
      </c>
      <c r="Y38" s="2"/>
      <c r="Z38" s="8">
        <f t="shared" si="27"/>
        <v>0.70084582015668984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7">
        <v>1629.46</v>
      </c>
      <c r="E39" s="2"/>
      <c r="F39" s="8">
        <f t="shared" si="20"/>
        <v>7.0573360806296297E-3</v>
      </c>
      <c r="G39" s="2"/>
      <c r="H39" s="7">
        <v>616.33000000000004</v>
      </c>
      <c r="I39" s="2"/>
      <c r="J39" s="8">
        <f t="shared" si="21"/>
        <v>1.3205822535068827E-2</v>
      </c>
      <c r="K39" s="2"/>
      <c r="L39" s="7">
        <f t="shared" si="22"/>
        <v>1013.13</v>
      </c>
      <c r="M39" s="2"/>
      <c r="N39" s="8">
        <f t="shared" si="23"/>
        <v>1.6438109454350753</v>
      </c>
      <c r="O39" s="11"/>
      <c r="P39" s="7">
        <v>1629.46</v>
      </c>
      <c r="Q39" s="2"/>
      <c r="R39" s="8">
        <f t="shared" si="24"/>
        <v>6.4183259106201261E-3</v>
      </c>
      <c r="S39" s="2"/>
      <c r="T39" s="7">
        <v>616.33000000000004</v>
      </c>
      <c r="U39" s="2"/>
      <c r="V39" s="8">
        <f t="shared" si="25"/>
        <v>1.3205822535068827E-2</v>
      </c>
      <c r="W39" s="2"/>
      <c r="X39" s="7">
        <f t="shared" si="26"/>
        <v>1013.13</v>
      </c>
      <c r="Y39" s="2"/>
      <c r="Z39" s="8">
        <f t="shared" si="27"/>
        <v>1.6438109454350753</v>
      </c>
    </row>
    <row r="40" spans="1:26" s="28" customFormat="1" outlineLevel="1" collapsed="1" x14ac:dyDescent="0.3">
      <c r="A40" s="29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624.13</v>
      </c>
      <c r="E40" s="1"/>
      <c r="F40" s="5">
        <f t="shared" ref="F40:F58" si="28">IF(D$12=0,0,D40/D$12)</f>
        <v>2.7031625004623437E-3</v>
      </c>
      <c r="G40" s="1"/>
      <c r="H40" s="1">
        <f>SUM(OSRRefH22_2x_0)</f>
        <v>704.51</v>
      </c>
      <c r="I40" s="1"/>
      <c r="J40" s="5">
        <f t="shared" ref="J40:J58" si="29">IF(H$12=0,0,H40/H$12)</f>
        <v>1.5095215281069132E-2</v>
      </c>
      <c r="K40" s="1"/>
      <c r="L40" s="1">
        <f t="shared" ref="L40:L58" si="30">+D40-H40</f>
        <v>-80.38</v>
      </c>
      <c r="M40" s="1"/>
      <c r="N40" s="5">
        <f t="shared" ref="N40:N58" si="31">IF(H40=0,0,L40/H40)</f>
        <v>-0.11409348341400405</v>
      </c>
      <c r="O40" s="14"/>
      <c r="P40" s="1">
        <f>SUM(OSRRefP22_2x_0)</f>
        <v>664.44</v>
      </c>
      <c r="Q40" s="1"/>
      <c r="R40" s="5">
        <f t="shared" ref="R40:R58" si="32">IF(P$12=0,0,P40/P$12)</f>
        <v>2.6171814392819933E-3</v>
      </c>
      <c r="S40" s="1"/>
      <c r="T40" s="1">
        <f>SUM(OSRRefT22_2x_0)</f>
        <v>1224.25</v>
      </c>
      <c r="U40" s="1"/>
      <c r="V40" s="5">
        <f t="shared" ref="V40:V58" si="33">IF(T$12=0,0,T40/T$12)</f>
        <v>2.6231447825934173E-2</v>
      </c>
      <c r="W40" s="1"/>
      <c r="X40" s="1">
        <f t="shared" ref="X40:X58" si="34">+P40-T40</f>
        <v>-559.80999999999995</v>
      </c>
      <c r="Y40" s="1"/>
      <c r="Z40" s="5">
        <f t="shared" ref="Z40:Z58" si="35">IF(T40=0,0,X40/T40)</f>
        <v>-0.45726771492750662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7">
        <v>624.13</v>
      </c>
      <c r="E41" s="2"/>
      <c r="F41" s="8">
        <f t="shared" si="28"/>
        <v>2.7031625004623437E-3</v>
      </c>
      <c r="G41" s="2"/>
      <c r="H41" s="7">
        <v>704.51</v>
      </c>
      <c r="I41" s="2"/>
      <c r="J41" s="8">
        <f t="shared" si="29"/>
        <v>1.5095215281069132E-2</v>
      </c>
      <c r="K41" s="2"/>
      <c r="L41" s="7">
        <f t="shared" si="30"/>
        <v>-80.38</v>
      </c>
      <c r="M41" s="2"/>
      <c r="N41" s="8">
        <f t="shared" si="31"/>
        <v>-0.11409348341400405</v>
      </c>
      <c r="O41" s="11"/>
      <c r="P41" s="7">
        <v>664.44</v>
      </c>
      <c r="Q41" s="2"/>
      <c r="R41" s="8">
        <f t="shared" si="32"/>
        <v>2.6171814392819933E-3</v>
      </c>
      <c r="S41" s="2"/>
      <c r="T41" s="7">
        <v>1224.25</v>
      </c>
      <c r="U41" s="2"/>
      <c r="V41" s="8">
        <f t="shared" si="33"/>
        <v>2.6231447825934173E-2</v>
      </c>
      <c r="W41" s="2"/>
      <c r="X41" s="7">
        <f t="shared" si="34"/>
        <v>-559.80999999999995</v>
      </c>
      <c r="Y41" s="2"/>
      <c r="Z41" s="8">
        <f t="shared" si="35"/>
        <v>-0.45726771492750662</v>
      </c>
    </row>
    <row r="42" spans="1:26" s="28" customFormat="1" outlineLevel="1" collapsed="1" x14ac:dyDescent="0.3">
      <c r="A42" s="29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32</v>
      </c>
      <c r="I42" s="1"/>
      <c r="J42" s="5">
        <f t="shared" si="29"/>
        <v>6.8564944286697452E-4</v>
      </c>
      <c r="K42" s="1"/>
      <c r="L42" s="1">
        <f t="shared" si="30"/>
        <v>-32</v>
      </c>
      <c r="M42" s="1"/>
      <c r="N42" s="5">
        <f t="shared" si="31"/>
        <v>-1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32</v>
      </c>
      <c r="U42" s="1"/>
      <c r="V42" s="5">
        <f t="shared" si="33"/>
        <v>6.8564944286697452E-4</v>
      </c>
      <c r="W42" s="1"/>
      <c r="X42" s="1">
        <f t="shared" si="34"/>
        <v>-32</v>
      </c>
      <c r="Y42" s="1"/>
      <c r="Z42" s="5">
        <f t="shared" si="35"/>
        <v>-1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8">
        <f t="shared" si="28"/>
        <v>0</v>
      </c>
      <c r="G43" s="2"/>
      <c r="H43" s="7">
        <v>32</v>
      </c>
      <c r="I43" s="2"/>
      <c r="J43" s="8">
        <f t="shared" si="29"/>
        <v>6.8564944286697452E-4</v>
      </c>
      <c r="K43" s="2"/>
      <c r="L43" s="7">
        <f t="shared" si="30"/>
        <v>-32</v>
      </c>
      <c r="M43" s="2"/>
      <c r="N43" s="8">
        <f t="shared" si="31"/>
        <v>-1</v>
      </c>
      <c r="O43" s="11"/>
      <c r="P43" s="7"/>
      <c r="Q43" s="2"/>
      <c r="R43" s="8">
        <f t="shared" si="32"/>
        <v>0</v>
      </c>
      <c r="S43" s="2"/>
      <c r="T43" s="7">
        <v>32</v>
      </c>
      <c r="U43" s="2"/>
      <c r="V43" s="8">
        <f t="shared" si="33"/>
        <v>6.8564944286697452E-4</v>
      </c>
      <c r="W43" s="2"/>
      <c r="X43" s="7">
        <f t="shared" si="34"/>
        <v>-32</v>
      </c>
      <c r="Y43" s="2"/>
      <c r="Z43" s="8">
        <f t="shared" si="35"/>
        <v>-1</v>
      </c>
    </row>
    <row r="44" spans="1:26" s="28" customFormat="1" outlineLevel="1" collapsed="1" x14ac:dyDescent="0.3">
      <c r="A44" s="29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40.56</v>
      </c>
      <c r="E44" s="1"/>
      <c r="F44" s="5">
        <f t="shared" si="28"/>
        <v>1.756689648290463E-4</v>
      </c>
      <c r="G44" s="1"/>
      <c r="H44" s="1">
        <f>SUM(OSRRefH22_4x_0)</f>
        <v>0</v>
      </c>
      <c r="I44" s="1"/>
      <c r="J44" s="5">
        <f t="shared" si="29"/>
        <v>0</v>
      </c>
      <c r="K44" s="1"/>
      <c r="L44" s="1">
        <f t="shared" si="30"/>
        <v>40.56</v>
      </c>
      <c r="M44" s="1"/>
      <c r="N44" s="5">
        <f t="shared" si="31"/>
        <v>0</v>
      </c>
      <c r="O44" s="14"/>
      <c r="P44" s="1">
        <f>SUM(OSRRefP22_4x_0)</f>
        <v>117.61</v>
      </c>
      <c r="Q44" s="1"/>
      <c r="R44" s="5">
        <f t="shared" si="32"/>
        <v>4.6325734313701041E-4</v>
      </c>
      <c r="S44" s="1"/>
      <c r="T44" s="1">
        <f>SUM(OSRRefT22_4x_0)</f>
        <v>0</v>
      </c>
      <c r="U44" s="1"/>
      <c r="V44" s="5">
        <f t="shared" si="33"/>
        <v>0</v>
      </c>
      <c r="W44" s="1"/>
      <c r="X44" s="1">
        <f t="shared" si="34"/>
        <v>117.61</v>
      </c>
      <c r="Y44" s="1"/>
      <c r="Z44" s="5">
        <f t="shared" si="35"/>
        <v>0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7">
        <v>40.56</v>
      </c>
      <c r="E45" s="2"/>
      <c r="F45" s="8">
        <f t="shared" si="28"/>
        <v>1.756689648290463E-4</v>
      </c>
      <c r="G45" s="2"/>
      <c r="H45" s="7"/>
      <c r="I45" s="2"/>
      <c r="J45" s="8">
        <f t="shared" si="29"/>
        <v>0</v>
      </c>
      <c r="K45" s="2"/>
      <c r="L45" s="7">
        <f t="shared" si="30"/>
        <v>40.56</v>
      </c>
      <c r="M45" s="2"/>
      <c r="N45" s="8">
        <f t="shared" si="31"/>
        <v>0</v>
      </c>
      <c r="O45" s="11"/>
      <c r="P45" s="7">
        <v>117.61</v>
      </c>
      <c r="Q45" s="2"/>
      <c r="R45" s="8">
        <f t="shared" si="32"/>
        <v>4.6325734313701041E-4</v>
      </c>
      <c r="S45" s="2"/>
      <c r="T45" s="7"/>
      <c r="U45" s="2"/>
      <c r="V45" s="8">
        <f t="shared" si="33"/>
        <v>0</v>
      </c>
      <c r="W45" s="2"/>
      <c r="X45" s="7">
        <f t="shared" si="34"/>
        <v>117.61</v>
      </c>
      <c r="Y45" s="2"/>
      <c r="Z45" s="8">
        <f t="shared" si="35"/>
        <v>0</v>
      </c>
    </row>
    <row r="46" spans="1:26" s="28" customFormat="1" outlineLevel="1" collapsed="1" x14ac:dyDescent="0.3">
      <c r="A46" s="29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1.1845961185994193E-3</v>
      </c>
      <c r="G46" s="1"/>
      <c r="H46" s="1">
        <f>SUM(OSRRefH22_5x_0)</f>
        <v>281.26</v>
      </c>
      <c r="I46" s="1"/>
      <c r="J46" s="5">
        <f t="shared" si="29"/>
        <v>6.0264300718989141E-3</v>
      </c>
      <c r="K46" s="1"/>
      <c r="L46" s="1">
        <f t="shared" si="30"/>
        <v>-7.75</v>
      </c>
      <c r="M46" s="1"/>
      <c r="N46" s="5">
        <f t="shared" si="31"/>
        <v>-2.7554575837303565E-2</v>
      </c>
      <c r="O46" s="14"/>
      <c r="P46" s="1">
        <f>SUM(OSRRefP22_5x_0)</f>
        <v>547.02</v>
      </c>
      <c r="Q46" s="1"/>
      <c r="R46" s="5">
        <f t="shared" si="32"/>
        <v>2.1546724924990006E-3</v>
      </c>
      <c r="S46" s="1"/>
      <c r="T46" s="1">
        <f>SUM(OSRRefT22_5x_0)</f>
        <v>281.26</v>
      </c>
      <c r="U46" s="1"/>
      <c r="V46" s="5">
        <f t="shared" si="33"/>
        <v>6.0264300718989141E-3</v>
      </c>
      <c r="W46" s="1"/>
      <c r="X46" s="1">
        <f t="shared" si="34"/>
        <v>265.76</v>
      </c>
      <c r="Y46" s="1"/>
      <c r="Z46" s="5">
        <f t="shared" si="35"/>
        <v>0.94489084832539283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273.51</v>
      </c>
      <c r="E47" s="2"/>
      <c r="F47" s="8">
        <f t="shared" si="28"/>
        <v>1.1845961185994193E-3</v>
      </c>
      <c r="G47" s="2"/>
      <c r="H47" s="7">
        <v>281.26</v>
      </c>
      <c r="I47" s="2"/>
      <c r="J47" s="8">
        <f t="shared" si="29"/>
        <v>6.0264300718989141E-3</v>
      </c>
      <c r="K47" s="2"/>
      <c r="L47" s="7">
        <f t="shared" si="30"/>
        <v>-7.75</v>
      </c>
      <c r="M47" s="2"/>
      <c r="N47" s="8">
        <f t="shared" si="31"/>
        <v>-2.7554575837303565E-2</v>
      </c>
      <c r="O47" s="11"/>
      <c r="P47" s="7">
        <v>547.02</v>
      </c>
      <c r="Q47" s="2"/>
      <c r="R47" s="8">
        <f t="shared" si="32"/>
        <v>2.1546724924990006E-3</v>
      </c>
      <c r="S47" s="2"/>
      <c r="T47" s="7">
        <v>281.26</v>
      </c>
      <c r="U47" s="2"/>
      <c r="V47" s="8">
        <f t="shared" si="33"/>
        <v>6.0264300718989141E-3</v>
      </c>
      <c r="W47" s="2"/>
      <c r="X47" s="7">
        <f t="shared" si="34"/>
        <v>265.76</v>
      </c>
      <c r="Y47" s="2"/>
      <c r="Z47" s="8">
        <f t="shared" si="35"/>
        <v>0.94489084832539283</v>
      </c>
    </row>
    <row r="48" spans="1:26" s="28" customFormat="1" outlineLevel="1" collapsed="1" x14ac:dyDescent="0.3">
      <c r="A48" s="29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1458.85</v>
      </c>
      <c r="E48" s="1"/>
      <c r="F48" s="5">
        <f t="shared" si="28"/>
        <v>6.318409007417509E-3</v>
      </c>
      <c r="G48" s="1"/>
      <c r="H48" s="1">
        <f>SUM(OSRRefH22_6x_0)</f>
        <v>2222.02</v>
      </c>
      <c r="I48" s="1"/>
      <c r="J48" s="5">
        <f t="shared" si="29"/>
        <v>4.7610211719977334E-2</v>
      </c>
      <c r="K48" s="1"/>
      <c r="L48" s="1">
        <f t="shared" si="30"/>
        <v>-763.17000000000007</v>
      </c>
      <c r="M48" s="1"/>
      <c r="N48" s="5">
        <f t="shared" si="31"/>
        <v>-0.34345775465567369</v>
      </c>
      <c r="O48" s="14"/>
      <c r="P48" s="1">
        <f>SUM(OSRRefP22_6x_0)</f>
        <v>1458.85</v>
      </c>
      <c r="Q48" s="1"/>
      <c r="R48" s="5">
        <f t="shared" si="32"/>
        <v>5.7463053739939427E-3</v>
      </c>
      <c r="S48" s="1"/>
      <c r="T48" s="1">
        <f>SUM(OSRRefT22_6x_0)</f>
        <v>2222.02</v>
      </c>
      <c r="U48" s="1"/>
      <c r="V48" s="5">
        <f t="shared" si="33"/>
        <v>4.7610211719977334E-2</v>
      </c>
      <c r="W48" s="1"/>
      <c r="X48" s="1">
        <f t="shared" si="34"/>
        <v>-763.17000000000007</v>
      </c>
      <c r="Y48" s="1"/>
      <c r="Z48" s="5">
        <f t="shared" si="35"/>
        <v>-0.34345775465567369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7">
        <v>1458.85</v>
      </c>
      <c r="E49" s="2"/>
      <c r="F49" s="8">
        <f t="shared" si="28"/>
        <v>6.318409007417509E-3</v>
      </c>
      <c r="G49" s="2"/>
      <c r="H49" s="7">
        <v>2222.02</v>
      </c>
      <c r="I49" s="2"/>
      <c r="J49" s="8">
        <f t="shared" si="29"/>
        <v>4.7610211719977334E-2</v>
      </c>
      <c r="K49" s="2"/>
      <c r="L49" s="7">
        <f t="shared" si="30"/>
        <v>-763.17000000000007</v>
      </c>
      <c r="M49" s="2"/>
      <c r="N49" s="8">
        <f t="shared" si="31"/>
        <v>-0.34345775465567369</v>
      </c>
      <c r="O49" s="11"/>
      <c r="P49" s="7">
        <v>1458.85</v>
      </c>
      <c r="Q49" s="2"/>
      <c r="R49" s="8">
        <f t="shared" si="32"/>
        <v>5.7463053739939427E-3</v>
      </c>
      <c r="S49" s="2"/>
      <c r="T49" s="7">
        <v>2222.02</v>
      </c>
      <c r="U49" s="2"/>
      <c r="V49" s="8">
        <f t="shared" si="33"/>
        <v>4.7610211719977334E-2</v>
      </c>
      <c r="W49" s="2"/>
      <c r="X49" s="7">
        <f t="shared" si="34"/>
        <v>-763.17000000000007</v>
      </c>
      <c r="Y49" s="2"/>
      <c r="Z49" s="8">
        <f t="shared" si="35"/>
        <v>-0.34345775465567369</v>
      </c>
    </row>
    <row r="50" spans="1:26" s="28" customFormat="1" outlineLevel="1" collapsed="1" x14ac:dyDescent="0.3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265.36</v>
      </c>
      <c r="E50" s="1"/>
      <c r="F50" s="5">
        <f t="shared" si="28"/>
        <v>1.1492977442563049E-3</v>
      </c>
      <c r="G50" s="1"/>
      <c r="H50" s="1">
        <f>SUM(OSRRefH22_7x_0)</f>
        <v>342.94</v>
      </c>
      <c r="I50" s="1"/>
      <c r="J50" s="5">
        <f t="shared" si="29"/>
        <v>7.3480193730250075E-3</v>
      </c>
      <c r="K50" s="1"/>
      <c r="L50" s="1">
        <f t="shared" si="30"/>
        <v>-77.579999999999984</v>
      </c>
      <c r="M50" s="1"/>
      <c r="N50" s="5">
        <f t="shared" si="31"/>
        <v>-0.22622033008689563</v>
      </c>
      <c r="O50" s="14"/>
      <c r="P50" s="1">
        <f>SUM(OSRRefP22_7x_0)</f>
        <v>692.46</v>
      </c>
      <c r="Q50" s="1"/>
      <c r="R50" s="5">
        <f t="shared" si="32"/>
        <v>2.7275502068587216E-3</v>
      </c>
      <c r="S50" s="1"/>
      <c r="T50" s="1">
        <f>SUM(OSRRefT22_7x_0)</f>
        <v>550.54</v>
      </c>
      <c r="U50" s="1"/>
      <c r="V50" s="5">
        <f t="shared" si="33"/>
        <v>1.1796170133624504E-2</v>
      </c>
      <c r="W50" s="1"/>
      <c r="X50" s="1">
        <f t="shared" si="34"/>
        <v>141.92000000000007</v>
      </c>
      <c r="Y50" s="1"/>
      <c r="Z50" s="5">
        <f t="shared" si="35"/>
        <v>0.25778326733752333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7">
        <v>265.36</v>
      </c>
      <c r="E51" s="2"/>
      <c r="F51" s="8">
        <f t="shared" si="28"/>
        <v>1.1492977442563049E-3</v>
      </c>
      <c r="G51" s="2"/>
      <c r="H51" s="7">
        <v>342.94</v>
      </c>
      <c r="I51" s="2"/>
      <c r="J51" s="8">
        <f t="shared" si="29"/>
        <v>7.3480193730250075E-3</v>
      </c>
      <c r="K51" s="2"/>
      <c r="L51" s="7">
        <f t="shared" si="30"/>
        <v>-77.579999999999984</v>
      </c>
      <c r="M51" s="2"/>
      <c r="N51" s="8">
        <f t="shared" si="31"/>
        <v>-0.22622033008689563</v>
      </c>
      <c r="O51" s="11"/>
      <c r="P51" s="7">
        <v>692.46</v>
      </c>
      <c r="Q51" s="2"/>
      <c r="R51" s="8">
        <f t="shared" si="32"/>
        <v>2.7275502068587216E-3</v>
      </c>
      <c r="S51" s="2"/>
      <c r="T51" s="7">
        <v>550.54</v>
      </c>
      <c r="U51" s="2"/>
      <c r="V51" s="8">
        <f t="shared" si="33"/>
        <v>1.1796170133624504E-2</v>
      </c>
      <c r="W51" s="2"/>
      <c r="X51" s="7">
        <f t="shared" si="34"/>
        <v>141.92000000000007</v>
      </c>
      <c r="Y51" s="2"/>
      <c r="Z51" s="8">
        <f t="shared" si="35"/>
        <v>0.25778326733752333</v>
      </c>
    </row>
    <row r="52" spans="1:26" s="28" customFormat="1" outlineLevel="1" collapsed="1" x14ac:dyDescent="0.3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1469.55</v>
      </c>
      <c r="E52" s="1"/>
      <c r="F52" s="5">
        <f t="shared" si="28"/>
        <v>6.3647516583955855E-3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1469.55</v>
      </c>
      <c r="M52" s="1"/>
      <c r="N52" s="5">
        <f t="shared" si="31"/>
        <v>0</v>
      </c>
      <c r="O52" s="14"/>
      <c r="P52" s="1">
        <f>SUM(OSRRefP22_8x_0)</f>
        <v>1557.93</v>
      </c>
      <c r="Q52" s="1"/>
      <c r="R52" s="5">
        <f t="shared" si="32"/>
        <v>6.1365743779733242E-3</v>
      </c>
      <c r="S52" s="1"/>
      <c r="T52" s="1">
        <f>SUM(OSRRefT22_8x_0)</f>
        <v>1439.55</v>
      </c>
      <c r="U52" s="1"/>
      <c r="V52" s="5">
        <f t="shared" si="33"/>
        <v>3.0844582983723536E-2</v>
      </c>
      <c r="W52" s="1"/>
      <c r="X52" s="1">
        <f t="shared" si="34"/>
        <v>118.38000000000011</v>
      </c>
      <c r="Y52" s="1"/>
      <c r="Z52" s="5">
        <f t="shared" si="35"/>
        <v>8.2234031468167212E-2</v>
      </c>
    </row>
    <row r="53" spans="1:26" s="24" customFormat="1" hidden="1" outlineLevel="2" x14ac:dyDescent="0.3">
      <c r="A53" s="27"/>
      <c r="B53" s="11" t="str">
        <f>CONCATENATE("          ", "6279", " - ", "GENERAL EXPENSE")</f>
        <v xml:space="preserve">          6279 - GENERAL EXPENSE</v>
      </c>
      <c r="C53" s="11"/>
      <c r="D53" s="7">
        <v>1469.55</v>
      </c>
      <c r="E53" s="2"/>
      <c r="F53" s="8">
        <f t="shared" si="28"/>
        <v>6.3647516583955855E-3</v>
      </c>
      <c r="G53" s="2"/>
      <c r="H53" s="7"/>
      <c r="I53" s="2"/>
      <c r="J53" s="8">
        <f t="shared" si="29"/>
        <v>0</v>
      </c>
      <c r="K53" s="2"/>
      <c r="L53" s="7">
        <f t="shared" si="30"/>
        <v>1469.55</v>
      </c>
      <c r="M53" s="2"/>
      <c r="N53" s="8">
        <f t="shared" si="31"/>
        <v>0</v>
      </c>
      <c r="O53" s="11"/>
      <c r="P53" s="7">
        <v>1557.93</v>
      </c>
      <c r="Q53" s="2"/>
      <c r="R53" s="8">
        <f t="shared" si="32"/>
        <v>6.1365743779733242E-3</v>
      </c>
      <c r="S53" s="2"/>
      <c r="T53" s="7">
        <v>1439.55</v>
      </c>
      <c r="U53" s="2"/>
      <c r="V53" s="8">
        <f t="shared" si="33"/>
        <v>3.0844582983723536E-2</v>
      </c>
      <c r="W53" s="2"/>
      <c r="X53" s="7">
        <f t="shared" si="34"/>
        <v>118.38000000000011</v>
      </c>
      <c r="Y53" s="2"/>
      <c r="Z53" s="8">
        <f t="shared" si="35"/>
        <v>8.2234031468167212E-2</v>
      </c>
    </row>
    <row r="54" spans="1:26" s="28" customFormat="1" outlineLevel="1" collapsed="1" x14ac:dyDescent="0.3">
      <c r="A54" s="29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18625.39</v>
      </c>
      <c r="E54" s="1"/>
      <c r="F54" s="5">
        <f t="shared" si="28"/>
        <v>8.0668219448650644E-2</v>
      </c>
      <c r="G54" s="1"/>
      <c r="H54" s="1">
        <f>SUM(OSRRefH22_9x_0)</f>
        <v>3389.81</v>
      </c>
      <c r="I54" s="1"/>
      <c r="J54" s="5">
        <f t="shared" si="29"/>
        <v>7.2631916810153088E-2</v>
      </c>
      <c r="K54" s="1"/>
      <c r="L54" s="1">
        <f t="shared" si="30"/>
        <v>15235.58</v>
      </c>
      <c r="M54" s="1"/>
      <c r="N54" s="5">
        <f t="shared" si="31"/>
        <v>4.4945232918659155</v>
      </c>
      <c r="O54" s="14"/>
      <c r="P54" s="1">
        <f>SUM(OSRRefP22_9x_0)</f>
        <v>20193.39</v>
      </c>
      <c r="Q54" s="1"/>
      <c r="R54" s="5">
        <f t="shared" si="32"/>
        <v>7.9540312901364471E-2</v>
      </c>
      <c r="S54" s="1"/>
      <c r="T54" s="1">
        <f>SUM(OSRRefT22_9x_0)</f>
        <v>3389.81</v>
      </c>
      <c r="U54" s="1"/>
      <c r="V54" s="5">
        <f t="shared" si="33"/>
        <v>7.2631916810153088E-2</v>
      </c>
      <c r="W54" s="1"/>
      <c r="X54" s="1">
        <f t="shared" si="34"/>
        <v>16803.579999999998</v>
      </c>
      <c r="Y54" s="1"/>
      <c r="Z54" s="5">
        <f t="shared" si="35"/>
        <v>4.9570860903708462</v>
      </c>
    </row>
    <row r="55" spans="1:26" s="24" customFormat="1" hidden="1" outlineLevel="2" x14ac:dyDescent="0.3">
      <c r="A55" s="27"/>
      <c r="B55" s="11" t="str">
        <f>CONCATENATE("          ", "6387", " - ", "COMMISSION DUE HOUSING")</f>
        <v xml:space="preserve">          6387 - COMMISSION DUE HOUSING</v>
      </c>
      <c r="C55" s="11"/>
      <c r="D55" s="7">
        <v>18625.39</v>
      </c>
      <c r="E55" s="2"/>
      <c r="F55" s="8">
        <f t="shared" si="28"/>
        <v>8.0668219448650644E-2</v>
      </c>
      <c r="G55" s="2"/>
      <c r="H55" s="7">
        <v>3389.81</v>
      </c>
      <c r="I55" s="2"/>
      <c r="J55" s="8">
        <f t="shared" si="29"/>
        <v>7.2631916810153088E-2</v>
      </c>
      <c r="K55" s="2"/>
      <c r="L55" s="7">
        <f t="shared" si="30"/>
        <v>15235.58</v>
      </c>
      <c r="M55" s="2"/>
      <c r="N55" s="8">
        <f t="shared" si="31"/>
        <v>4.4945232918659155</v>
      </c>
      <c r="O55" s="11"/>
      <c r="P55" s="7">
        <v>20193.39</v>
      </c>
      <c r="Q55" s="2"/>
      <c r="R55" s="8">
        <f t="shared" si="32"/>
        <v>7.9540312901364471E-2</v>
      </c>
      <c r="S55" s="2"/>
      <c r="T55" s="7">
        <v>3389.81</v>
      </c>
      <c r="U55" s="2"/>
      <c r="V55" s="8">
        <f t="shared" si="33"/>
        <v>7.2631916810153088E-2</v>
      </c>
      <c r="W55" s="2"/>
      <c r="X55" s="7">
        <f t="shared" si="34"/>
        <v>16803.579999999998</v>
      </c>
      <c r="Y55" s="2"/>
      <c r="Z55" s="8">
        <f t="shared" si="35"/>
        <v>4.9570860903708462</v>
      </c>
    </row>
    <row r="56" spans="1:26" s="28" customFormat="1" outlineLevel="1" collapsed="1" x14ac:dyDescent="0.3">
      <c r="A56" s="29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42.3</v>
      </c>
      <c r="E56" s="1"/>
      <c r="F56" s="5">
        <f t="shared" si="28"/>
        <v>1.8320505947407931E-4</v>
      </c>
      <c r="G56" s="1"/>
      <c r="H56" s="1">
        <f>SUM(OSRRefH22_10x_0)</f>
        <v>1388.55</v>
      </c>
      <c r="I56" s="1"/>
      <c r="J56" s="5">
        <f t="shared" si="29"/>
        <v>2.9751829184154296E-2</v>
      </c>
      <c r="K56" s="1"/>
      <c r="L56" s="1">
        <f t="shared" si="30"/>
        <v>-1346.25</v>
      </c>
      <c r="M56" s="1"/>
      <c r="N56" s="5">
        <f t="shared" si="31"/>
        <v>-0.96953656692232904</v>
      </c>
      <c r="O56" s="14"/>
      <c r="P56" s="1">
        <f>SUM(OSRRefP22_10x_0)</f>
        <v>671.3</v>
      </c>
      <c r="Q56" s="1"/>
      <c r="R56" s="5">
        <f t="shared" si="32"/>
        <v>2.6442024865902143E-3</v>
      </c>
      <c r="S56" s="1"/>
      <c r="T56" s="1">
        <f>SUM(OSRRefT22_10x_0)</f>
        <v>1390.2</v>
      </c>
      <c r="U56" s="1"/>
      <c r="V56" s="5">
        <f t="shared" si="33"/>
        <v>2.9787182983552127E-2</v>
      </c>
      <c r="W56" s="1"/>
      <c r="X56" s="1">
        <f t="shared" si="34"/>
        <v>-718.90000000000009</v>
      </c>
      <c r="Y56" s="1"/>
      <c r="Z56" s="5">
        <f t="shared" si="35"/>
        <v>-0.51711983887210478</v>
      </c>
    </row>
    <row r="57" spans="1:26" s="24" customFormat="1" hidden="1" outlineLevel="2" x14ac:dyDescent="0.3">
      <c r="A57" s="27"/>
      <c r="B57" s="11" t="str">
        <f>CONCATENATE("          ", "6373", " - ", "MAINTENANCE CONTRACTS")</f>
        <v xml:space="preserve">          6373 - MAINTENANCE CONTRACTS</v>
      </c>
      <c r="C57" s="11"/>
      <c r="D57" s="7"/>
      <c r="E57" s="2"/>
      <c r="F57" s="8">
        <f t="shared" si="28"/>
        <v>0</v>
      </c>
      <c r="G57" s="2"/>
      <c r="H57" s="7">
        <v>1388.55</v>
      </c>
      <c r="I57" s="2"/>
      <c r="J57" s="8">
        <f t="shared" si="29"/>
        <v>2.9751829184154296E-2</v>
      </c>
      <c r="K57" s="2"/>
      <c r="L57" s="7">
        <f t="shared" si="30"/>
        <v>-1388.55</v>
      </c>
      <c r="M57" s="2"/>
      <c r="N57" s="8">
        <f t="shared" si="31"/>
        <v>-1</v>
      </c>
      <c r="O57" s="11"/>
      <c r="P57" s="7">
        <v>14</v>
      </c>
      <c r="Q57" s="2"/>
      <c r="R57" s="8">
        <f t="shared" si="32"/>
        <v>5.5144994506573812E-5</v>
      </c>
      <c r="S57" s="2"/>
      <c r="T57" s="7">
        <v>1390.2</v>
      </c>
      <c r="U57" s="2"/>
      <c r="V57" s="8">
        <f t="shared" si="33"/>
        <v>2.9787182983552127E-2</v>
      </c>
      <c r="W57" s="2"/>
      <c r="X57" s="7">
        <f t="shared" si="34"/>
        <v>-1376.2</v>
      </c>
      <c r="Y57" s="2"/>
      <c r="Z57" s="8">
        <f t="shared" si="35"/>
        <v>-0.98992950654582079</v>
      </c>
    </row>
    <row r="58" spans="1:26" s="24" customFormat="1" hidden="1" outlineLevel="2" x14ac:dyDescent="0.3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7">
        <v>42.3</v>
      </c>
      <c r="E58" s="2"/>
      <c r="F58" s="8">
        <f t="shared" si="28"/>
        <v>1.8320505947407931E-4</v>
      </c>
      <c r="G58" s="2"/>
      <c r="H58" s="7"/>
      <c r="I58" s="2"/>
      <c r="J58" s="8">
        <f t="shared" si="29"/>
        <v>0</v>
      </c>
      <c r="K58" s="2"/>
      <c r="L58" s="7">
        <f t="shared" si="30"/>
        <v>42.3</v>
      </c>
      <c r="M58" s="2"/>
      <c r="N58" s="8">
        <f t="shared" si="31"/>
        <v>0</v>
      </c>
      <c r="O58" s="11"/>
      <c r="P58" s="7">
        <v>657.3</v>
      </c>
      <c r="Q58" s="2"/>
      <c r="R58" s="8">
        <f t="shared" si="32"/>
        <v>2.5890574920836404E-3</v>
      </c>
      <c r="S58" s="2"/>
      <c r="T58" s="7"/>
      <c r="U58" s="2"/>
      <c r="V58" s="8">
        <f t="shared" si="33"/>
        <v>0</v>
      </c>
      <c r="W58" s="2"/>
      <c r="X58" s="7">
        <f t="shared" si="34"/>
        <v>657.3</v>
      </c>
      <c r="Y58" s="2"/>
      <c r="Z58" s="8">
        <f t="shared" si="35"/>
        <v>0</v>
      </c>
    </row>
    <row r="59" spans="1:26" s="28" customFormat="1" outlineLevel="1" collapsed="1" x14ac:dyDescent="0.3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6091.05</v>
      </c>
      <c r="E59" s="1"/>
      <c r="F59" s="5">
        <f t="shared" ref="F59:F62" si="36">IF(D$12=0,0,D59/D$12)</f>
        <v>2.6380878900935958E-2</v>
      </c>
      <c r="G59" s="1"/>
      <c r="H59" s="1">
        <f>SUM(OSRRefH22_11x_0)</f>
        <v>1326.74</v>
      </c>
      <c r="I59" s="1"/>
      <c r="J59" s="5">
        <f t="shared" ref="J59:J62" si="37">IF(H$12=0,0,H59/H$12)</f>
        <v>2.8427454432166557E-2</v>
      </c>
      <c r="K59" s="1"/>
      <c r="L59" s="1">
        <f t="shared" ref="L59:L62" si="38">+D59-H59</f>
        <v>4764.3100000000004</v>
      </c>
      <c r="M59" s="1"/>
      <c r="N59" s="5">
        <f t="shared" ref="N59:N62" si="39">IF(H59=0,0,L59/H59)</f>
        <v>3.5909899452794067</v>
      </c>
      <c r="O59" s="14"/>
      <c r="P59" s="1">
        <f>SUM(OSRRefP22_11x_0)</f>
        <v>11903.95</v>
      </c>
      <c r="Q59" s="1"/>
      <c r="R59" s="5">
        <f t="shared" ref="R59:R62" si="40">IF(P$12=0,0,P59/P$12)</f>
        <v>4.6888804096894957E-2</v>
      </c>
      <c r="S59" s="1"/>
      <c r="T59" s="1">
        <f>SUM(OSRRefT22_11x_0)</f>
        <v>1901.62</v>
      </c>
      <c r="U59" s="1"/>
      <c r="V59" s="5">
        <f t="shared" ref="V59:V62" si="41">IF(T$12=0,0,T59/T$12)</f>
        <v>4.0745146673271754E-2</v>
      </c>
      <c r="W59" s="1"/>
      <c r="X59" s="1">
        <f t="shared" ref="X59:X62" si="42">+P59-T59</f>
        <v>10002.330000000002</v>
      </c>
      <c r="Y59" s="1"/>
      <c r="Z59" s="5">
        <f t="shared" ref="Z59:Z62" si="43">IF(T59=0,0,X59/T59)</f>
        <v>5.2598994541496209</v>
      </c>
    </row>
    <row r="60" spans="1:26" s="24" customFormat="1" hidden="1" outlineLevel="2" x14ac:dyDescent="0.3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421.34</v>
      </c>
      <c r="E60" s="2"/>
      <c r="F60" s="8">
        <f t="shared" si="36"/>
        <v>1.8248609872058767E-3</v>
      </c>
      <c r="G60" s="2"/>
      <c r="H60" s="7">
        <v>421.34</v>
      </c>
      <c r="I60" s="2"/>
      <c r="J60" s="8">
        <f t="shared" si="37"/>
        <v>9.0278605080490945E-3</v>
      </c>
      <c r="K60" s="2"/>
      <c r="L60" s="7">
        <f t="shared" si="38"/>
        <v>0</v>
      </c>
      <c r="M60" s="2"/>
      <c r="N60" s="8">
        <f t="shared" si="39"/>
        <v>0</v>
      </c>
      <c r="O60" s="11"/>
      <c r="P60" s="7">
        <v>842.68</v>
      </c>
      <c r="Q60" s="2"/>
      <c r="R60" s="8">
        <f t="shared" si="40"/>
        <v>3.3192559979142583E-3</v>
      </c>
      <c r="S60" s="2"/>
      <c r="T60" s="7">
        <v>842.68</v>
      </c>
      <c r="U60" s="2"/>
      <c r="V60" s="8">
        <f t="shared" si="41"/>
        <v>1.8055721016098189E-2</v>
      </c>
      <c r="W60" s="2"/>
      <c r="X60" s="7">
        <f t="shared" si="42"/>
        <v>0</v>
      </c>
      <c r="Y60" s="2"/>
      <c r="Z60" s="8">
        <f t="shared" si="43"/>
        <v>0</v>
      </c>
    </row>
    <row r="61" spans="1:26" s="24" customFormat="1" hidden="1" outlineLevel="2" x14ac:dyDescent="0.3">
      <c r="A61" s="27"/>
      <c r="B61" s="11" t="str">
        <f>CONCATENATE("          ", "6285", " - ", "JANITORIAL SERVICES")</f>
        <v xml:space="preserve">          6285 - JANITORIAL SERVICES</v>
      </c>
      <c r="C61" s="11"/>
      <c r="D61" s="7">
        <v>4468.33</v>
      </c>
      <c r="E61" s="2"/>
      <c r="F61" s="8">
        <f t="shared" si="36"/>
        <v>1.9352734359333639E-2</v>
      </c>
      <c r="G61" s="2"/>
      <c r="H61" s="7"/>
      <c r="I61" s="2"/>
      <c r="J61" s="8">
        <f t="shared" si="37"/>
        <v>0</v>
      </c>
      <c r="K61" s="2"/>
      <c r="L61" s="7">
        <f t="shared" si="38"/>
        <v>4468.33</v>
      </c>
      <c r="M61" s="2"/>
      <c r="N61" s="8">
        <f t="shared" si="39"/>
        <v>0</v>
      </c>
      <c r="O61" s="11"/>
      <c r="P61" s="7">
        <v>8936.66</v>
      </c>
      <c r="Q61" s="2"/>
      <c r="R61" s="8">
        <f t="shared" si="40"/>
        <v>3.5200861900508425E-2</v>
      </c>
      <c r="S61" s="2"/>
      <c r="T61" s="7"/>
      <c r="U61" s="2"/>
      <c r="V61" s="8">
        <f t="shared" si="41"/>
        <v>0</v>
      </c>
      <c r="W61" s="2"/>
      <c r="X61" s="7">
        <f t="shared" si="42"/>
        <v>8936.66</v>
      </c>
      <c r="Y61" s="2"/>
      <c r="Z61" s="8">
        <f t="shared" si="43"/>
        <v>0</v>
      </c>
    </row>
    <row r="62" spans="1:26" s="24" customFormat="1" hidden="1" outlineLevel="2" x14ac:dyDescent="0.3">
      <c r="A62" s="27"/>
      <c r="B62" s="11" t="str">
        <f>CONCATENATE("          ", "6286", " - ", "LAUNDRY EXPENSE")</f>
        <v xml:space="preserve">          6286 - LAUNDRY EXPENSE</v>
      </c>
      <c r="C62" s="11"/>
      <c r="D62" s="7">
        <v>1201.3800000000001</v>
      </c>
      <c r="E62" s="2"/>
      <c r="F62" s="8">
        <f t="shared" si="36"/>
        <v>5.2032835543964406E-3</v>
      </c>
      <c r="G62" s="2"/>
      <c r="H62" s="7">
        <v>905.4</v>
      </c>
      <c r="I62" s="2"/>
      <c r="J62" s="8">
        <f t="shared" si="37"/>
        <v>1.9399593924117459E-2</v>
      </c>
      <c r="K62" s="2"/>
      <c r="L62" s="7">
        <f t="shared" si="38"/>
        <v>295.98000000000013</v>
      </c>
      <c r="M62" s="2"/>
      <c r="N62" s="8">
        <f t="shared" si="39"/>
        <v>0.32690523525513598</v>
      </c>
      <c r="O62" s="11"/>
      <c r="P62" s="7">
        <v>2124.61</v>
      </c>
      <c r="Q62" s="2"/>
      <c r="R62" s="8">
        <f t="shared" si="40"/>
        <v>8.3686861984722718E-3</v>
      </c>
      <c r="S62" s="2"/>
      <c r="T62" s="7">
        <v>1058.94</v>
      </c>
      <c r="U62" s="2"/>
      <c r="V62" s="8">
        <f t="shared" si="41"/>
        <v>2.2689425657173565E-2</v>
      </c>
      <c r="W62" s="2"/>
      <c r="X62" s="7">
        <f t="shared" si="42"/>
        <v>1065.67</v>
      </c>
      <c r="Y62" s="2"/>
      <c r="Z62" s="8">
        <f t="shared" si="43"/>
        <v>1.0063554120157894</v>
      </c>
    </row>
    <row r="63" spans="1:26" s="28" customFormat="1" outlineLevel="1" collapsed="1" x14ac:dyDescent="0.3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9110.73</v>
      </c>
      <c r="E63" s="1"/>
      <c r="F63" s="5">
        <f t="shared" ref="F63:F69" si="44">IF(D$12=0,0,D63/D$12)</f>
        <v>3.9459381359391935E-2</v>
      </c>
      <c r="G63" s="1"/>
      <c r="H63" s="1">
        <f>SUM(OSRRefH22_12x_0)</f>
        <v>14652.13</v>
      </c>
      <c r="I63" s="1"/>
      <c r="J63" s="5">
        <f t="shared" ref="J63:J69" si="45">IF(H$12=0,0,H63/H$12)</f>
        <v>0.31394452410357759</v>
      </c>
      <c r="K63" s="1"/>
      <c r="L63" s="1">
        <f t="shared" ref="L63:L69" si="46">+D63-H63</f>
        <v>-5541.4</v>
      </c>
      <c r="M63" s="1"/>
      <c r="N63" s="5">
        <f t="shared" ref="N63:N69" si="47">IF(H63=0,0,L63/H63)</f>
        <v>-0.3781975726396094</v>
      </c>
      <c r="O63" s="14"/>
      <c r="P63" s="1">
        <f>SUM(OSRRefP22_12x_0)</f>
        <v>14312.41</v>
      </c>
      <c r="Q63" s="1"/>
      <c r="R63" s="5">
        <f t="shared" ref="R63:R69" si="48">IF(P$12=0,0,P63/P$12)</f>
        <v>5.637555505898801E-2</v>
      </c>
      <c r="S63" s="1"/>
      <c r="T63" s="1">
        <f>SUM(OSRRefT22_12x_0)</f>
        <v>14652.13</v>
      </c>
      <c r="U63" s="1"/>
      <c r="V63" s="5">
        <f t="shared" ref="V63:V69" si="49">IF(T$12=0,0,T63/T$12)</f>
        <v>0.31394452410357759</v>
      </c>
      <c r="W63" s="1"/>
      <c r="X63" s="1">
        <f t="shared" ref="X63:X69" si="50">+P63-T63</f>
        <v>-339.71999999999935</v>
      </c>
      <c r="Y63" s="1"/>
      <c r="Z63" s="5">
        <f t="shared" ref="Z63:Z69" si="51">IF(T63=0,0,X63/T63)</f>
        <v>-2.3185707470517895E-2</v>
      </c>
    </row>
    <row r="64" spans="1:26" s="24" customFormat="1" hidden="1" outlineLevel="2" x14ac:dyDescent="0.3">
      <c r="A64" s="27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8">
        <f t="shared" si="44"/>
        <v>0</v>
      </c>
      <c r="G64" s="2"/>
      <c r="H64" s="7">
        <v>7625.15</v>
      </c>
      <c r="I64" s="2"/>
      <c r="J64" s="8">
        <f t="shared" si="45"/>
        <v>0.16338062028990971</v>
      </c>
      <c r="K64" s="2"/>
      <c r="L64" s="7">
        <f t="shared" si="46"/>
        <v>-7625.15</v>
      </c>
      <c r="M64" s="2"/>
      <c r="N64" s="8">
        <f t="shared" si="47"/>
        <v>-1</v>
      </c>
      <c r="O64" s="11"/>
      <c r="P64" s="7"/>
      <c r="Q64" s="2"/>
      <c r="R64" s="8">
        <f t="shared" si="48"/>
        <v>0</v>
      </c>
      <c r="S64" s="2"/>
      <c r="T64" s="7">
        <v>7625.15</v>
      </c>
      <c r="U64" s="2"/>
      <c r="V64" s="8">
        <f t="shared" si="49"/>
        <v>0.16338062028990971</v>
      </c>
      <c r="W64" s="2"/>
      <c r="X64" s="7">
        <f t="shared" si="50"/>
        <v>-7625.15</v>
      </c>
      <c r="Y64" s="2"/>
      <c r="Z64" s="8">
        <f t="shared" si="51"/>
        <v>-1</v>
      </c>
    </row>
    <row r="65" spans="1:26" s="24" customFormat="1" hidden="1" outlineLevel="2" x14ac:dyDescent="0.3">
      <c r="A65" s="27"/>
      <c r="B65" s="11" t="str">
        <f>CONCATENATE("          ", "6237", " - ", "JANITORIAL SUPPLIES")</f>
        <v xml:space="preserve">          6237 - JANITORIAL SUPPLIES</v>
      </c>
      <c r="C65" s="11"/>
      <c r="D65" s="7"/>
      <c r="E65" s="2"/>
      <c r="F65" s="8">
        <f t="shared" si="44"/>
        <v>0</v>
      </c>
      <c r="G65" s="2"/>
      <c r="H65" s="7">
        <v>1416.91</v>
      </c>
      <c r="I65" s="2"/>
      <c r="J65" s="8">
        <f t="shared" si="45"/>
        <v>3.0359486002895154E-2</v>
      </c>
      <c r="K65" s="2"/>
      <c r="L65" s="7">
        <f t="shared" si="46"/>
        <v>-1416.91</v>
      </c>
      <c r="M65" s="2"/>
      <c r="N65" s="8">
        <f t="shared" si="47"/>
        <v>-1</v>
      </c>
      <c r="O65" s="11"/>
      <c r="P65" s="7">
        <v>3701.95</v>
      </c>
      <c r="Q65" s="2"/>
      <c r="R65" s="8">
        <f t="shared" si="48"/>
        <v>1.458171517240078E-2</v>
      </c>
      <c r="S65" s="2"/>
      <c r="T65" s="7">
        <v>1416.91</v>
      </c>
      <c r="U65" s="2"/>
      <c r="V65" s="8">
        <f t="shared" si="49"/>
        <v>3.0359486002895154E-2</v>
      </c>
      <c r="W65" s="2"/>
      <c r="X65" s="7">
        <f t="shared" si="50"/>
        <v>2285.04</v>
      </c>
      <c r="Y65" s="2"/>
      <c r="Z65" s="8">
        <f t="shared" si="51"/>
        <v>1.6126924081275451</v>
      </c>
    </row>
    <row r="66" spans="1:26" s="24" customFormat="1" hidden="1" outlineLevel="2" x14ac:dyDescent="0.3">
      <c r="A66" s="27"/>
      <c r="B66" s="11" t="str">
        <f>CONCATENATE("          ", "6239", " - ", "KITCHEN SUPPLIES")</f>
        <v xml:space="preserve">          6239 - KITCHEN SUPPLIES</v>
      </c>
      <c r="C66" s="11"/>
      <c r="D66" s="7">
        <v>1016.81</v>
      </c>
      <c r="E66" s="2"/>
      <c r="F66" s="8">
        <f t="shared" si="44"/>
        <v>4.4038944804689973E-3</v>
      </c>
      <c r="G66" s="2"/>
      <c r="H66" s="7">
        <v>1343.24</v>
      </c>
      <c r="I66" s="2"/>
      <c r="J66" s="8">
        <f t="shared" si="45"/>
        <v>2.878099242614484E-2</v>
      </c>
      <c r="K66" s="2"/>
      <c r="L66" s="7">
        <f t="shared" si="46"/>
        <v>-326.43000000000006</v>
      </c>
      <c r="M66" s="2"/>
      <c r="N66" s="8">
        <f t="shared" si="47"/>
        <v>-0.24301688454780981</v>
      </c>
      <c r="O66" s="11"/>
      <c r="P66" s="7">
        <v>1016.81</v>
      </c>
      <c r="Q66" s="2"/>
      <c r="R66" s="8">
        <f t="shared" si="48"/>
        <v>4.0051415617306657E-3</v>
      </c>
      <c r="S66" s="2"/>
      <c r="T66" s="7">
        <v>1343.24</v>
      </c>
      <c r="U66" s="2"/>
      <c r="V66" s="8">
        <f t="shared" si="49"/>
        <v>2.878099242614484E-2</v>
      </c>
      <c r="W66" s="2"/>
      <c r="X66" s="7">
        <f t="shared" si="50"/>
        <v>-326.43000000000006</v>
      </c>
      <c r="Y66" s="2"/>
      <c r="Z66" s="8">
        <f t="shared" si="51"/>
        <v>-0.24301688454780981</v>
      </c>
    </row>
    <row r="67" spans="1:26" s="24" customFormat="1" hidden="1" outlineLevel="2" x14ac:dyDescent="0.3">
      <c r="A67" s="27"/>
      <c r="B67" s="11" t="str">
        <f>CONCATENATE("          ", "6241", " - ", "OFFICE EXPENSE")</f>
        <v xml:space="preserve">          6241 - OFFICE EXPENSE</v>
      </c>
      <c r="C67" s="11"/>
      <c r="D67" s="7">
        <v>932.42</v>
      </c>
      <c r="E67" s="2"/>
      <c r="F67" s="8">
        <f t="shared" si="44"/>
        <v>4.0383938901848949E-3</v>
      </c>
      <c r="G67" s="2"/>
      <c r="H67" s="7">
        <v>105.23</v>
      </c>
      <c r="I67" s="2"/>
      <c r="J67" s="8">
        <f t="shared" si="45"/>
        <v>2.2547153397778669E-3</v>
      </c>
      <c r="K67" s="2"/>
      <c r="L67" s="7">
        <f t="shared" si="46"/>
        <v>827.18999999999994</v>
      </c>
      <c r="M67" s="2"/>
      <c r="N67" s="8">
        <f t="shared" si="47"/>
        <v>7.860781146061008</v>
      </c>
      <c r="O67" s="11"/>
      <c r="P67" s="7">
        <v>1369.08</v>
      </c>
      <c r="Q67" s="2"/>
      <c r="R67" s="8">
        <f t="shared" si="48"/>
        <v>5.3927077913614339E-3</v>
      </c>
      <c r="S67" s="2"/>
      <c r="T67" s="7">
        <v>105.23</v>
      </c>
      <c r="U67" s="2"/>
      <c r="V67" s="8">
        <f t="shared" si="49"/>
        <v>2.2547153397778669E-3</v>
      </c>
      <c r="W67" s="2"/>
      <c r="X67" s="7">
        <f t="shared" si="50"/>
        <v>1263.8499999999999</v>
      </c>
      <c r="Y67" s="2"/>
      <c r="Z67" s="8">
        <f t="shared" si="51"/>
        <v>12.010358262852797</v>
      </c>
    </row>
    <row r="68" spans="1:26" s="24" customFormat="1" hidden="1" outlineLevel="2" x14ac:dyDescent="0.3">
      <c r="A68" s="27"/>
      <c r="B68" s="11" t="str">
        <f>CONCATENATE("          ", "6243", " - ", "PAPER SUPPLIES")</f>
        <v xml:space="preserve">          6243 - PAPER SUPPLIES</v>
      </c>
      <c r="C68" s="11"/>
      <c r="D68" s="7">
        <v>7161.5</v>
      </c>
      <c r="E68" s="2"/>
      <c r="F68" s="8">
        <f t="shared" si="44"/>
        <v>3.1017092988738042E-2</v>
      </c>
      <c r="G68" s="2"/>
      <c r="H68" s="7">
        <v>650.62</v>
      </c>
      <c r="I68" s="2"/>
      <c r="J68" s="8">
        <f t="shared" si="45"/>
        <v>1.3940538766190969E-2</v>
      </c>
      <c r="K68" s="2"/>
      <c r="L68" s="7">
        <f t="shared" si="46"/>
        <v>6510.88</v>
      </c>
      <c r="M68" s="2"/>
      <c r="N68" s="8">
        <f t="shared" si="47"/>
        <v>10.007193138852172</v>
      </c>
      <c r="O68" s="11"/>
      <c r="P68" s="7">
        <v>8224.57</v>
      </c>
      <c r="Q68" s="2"/>
      <c r="R68" s="8">
        <f t="shared" si="48"/>
        <v>3.2395990533495123E-2</v>
      </c>
      <c r="S68" s="2"/>
      <c r="T68" s="7">
        <v>650.62</v>
      </c>
      <c r="U68" s="2"/>
      <c r="V68" s="8">
        <f t="shared" si="49"/>
        <v>1.3940538766190969E-2</v>
      </c>
      <c r="W68" s="2"/>
      <c r="X68" s="7">
        <f t="shared" si="50"/>
        <v>7573.95</v>
      </c>
      <c r="Y68" s="2"/>
      <c r="Z68" s="8">
        <f t="shared" si="51"/>
        <v>11.641126925086841</v>
      </c>
    </row>
    <row r="69" spans="1:26" s="24" customFormat="1" hidden="1" outlineLevel="2" x14ac:dyDescent="0.3">
      <c r="A69" s="27"/>
      <c r="B69" s="11" t="str">
        <f>CONCATENATE("          ", "6248", " - ", "UNIFORMS")</f>
        <v xml:space="preserve">          6248 - UNIFORMS</v>
      </c>
      <c r="C69" s="11"/>
      <c r="D69" s="7"/>
      <c r="E69" s="2"/>
      <c r="F69" s="8">
        <f t="shared" si="44"/>
        <v>0</v>
      </c>
      <c r="G69" s="2"/>
      <c r="H69" s="7">
        <v>3510.98</v>
      </c>
      <c r="I69" s="2"/>
      <c r="J69" s="8">
        <f t="shared" si="45"/>
        <v>7.5228171278659078E-2</v>
      </c>
      <c r="K69" s="2"/>
      <c r="L69" s="7">
        <f t="shared" si="46"/>
        <v>-3510.98</v>
      </c>
      <c r="M69" s="2"/>
      <c r="N69" s="8">
        <f t="shared" si="47"/>
        <v>-1</v>
      </c>
      <c r="O69" s="11"/>
      <c r="P69" s="7"/>
      <c r="Q69" s="2"/>
      <c r="R69" s="8">
        <f t="shared" si="48"/>
        <v>0</v>
      </c>
      <c r="S69" s="2"/>
      <c r="T69" s="7">
        <v>3510.98</v>
      </c>
      <c r="U69" s="2"/>
      <c r="V69" s="8">
        <f t="shared" si="49"/>
        <v>7.5228171278659078E-2</v>
      </c>
      <c r="W69" s="2"/>
      <c r="X69" s="7">
        <f t="shared" si="50"/>
        <v>-3510.98</v>
      </c>
      <c r="Y69" s="2"/>
      <c r="Z69" s="8">
        <f t="shared" si="51"/>
        <v>-1</v>
      </c>
    </row>
    <row r="70" spans="1:26" s="28" customFormat="1" outlineLevel="1" collapsed="1" x14ac:dyDescent="0.3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309</v>
      </c>
      <c r="E70" s="1"/>
      <c r="F70" s="5">
        <f t="shared" ref="F70:F73" si="52">IF(D$12=0,0,D70/D$12)</f>
        <v>1.3383064628248349E-3</v>
      </c>
      <c r="G70" s="1"/>
      <c r="H70" s="1">
        <f>SUM(OSRRefH22_13x_0)</f>
        <v>259</v>
      </c>
      <c r="I70" s="1"/>
      <c r="J70" s="5">
        <f t="shared" ref="J70:J73" si="53">IF(H$12=0,0,H70/H$12)</f>
        <v>5.5494751782045751E-3</v>
      </c>
      <c r="K70" s="1"/>
      <c r="L70" s="1">
        <f t="shared" ref="L70:L73" si="54">+D70-H70</f>
        <v>50</v>
      </c>
      <c r="M70" s="1"/>
      <c r="N70" s="5">
        <f t="shared" ref="N70:N73" si="55">IF(H70=0,0,L70/H70)</f>
        <v>0.19305019305019305</v>
      </c>
      <c r="O70" s="14"/>
      <c r="P70" s="1">
        <f>SUM(OSRRefP22_13x_0)</f>
        <v>526</v>
      </c>
      <c r="Q70" s="1"/>
      <c r="R70" s="5">
        <f t="shared" ref="R70:R73" si="56">IF(P$12=0,0,P70/P$12)</f>
        <v>2.071876222175559E-3</v>
      </c>
      <c r="S70" s="1"/>
      <c r="T70" s="1">
        <f>SUM(OSRRefT22_13x_0)</f>
        <v>518</v>
      </c>
      <c r="U70" s="1"/>
      <c r="V70" s="5">
        <f t="shared" ref="V70:V73" si="57">IF(T$12=0,0,T70/T$12)</f>
        <v>1.109895035640915E-2</v>
      </c>
      <c r="W70" s="1"/>
      <c r="X70" s="1">
        <f t="shared" ref="X70:X73" si="58">+P70-T70</f>
        <v>8</v>
      </c>
      <c r="Y70" s="1"/>
      <c r="Z70" s="5">
        <f t="shared" ref="Z70:Z73" si="59">IF(T70=0,0,X70/T70)</f>
        <v>1.5444015444015444E-2</v>
      </c>
    </row>
    <row r="71" spans="1:26" s="24" customFormat="1" hidden="1" outlineLevel="2" x14ac:dyDescent="0.3">
      <c r="A71" s="27"/>
      <c r="B71" s="11" t="str">
        <f>CONCATENATE("          ", "6309", " - ", "TELEPHONE")</f>
        <v xml:space="preserve">          6309 - TELEPHONE</v>
      </c>
      <c r="C71" s="11"/>
      <c r="D71" s="7">
        <v>309</v>
      </c>
      <c r="E71" s="2"/>
      <c r="F71" s="8">
        <f t="shared" si="52"/>
        <v>1.3383064628248349E-3</v>
      </c>
      <c r="G71" s="2"/>
      <c r="H71" s="7">
        <v>259</v>
      </c>
      <c r="I71" s="2"/>
      <c r="J71" s="8">
        <f t="shared" si="53"/>
        <v>5.5494751782045751E-3</v>
      </c>
      <c r="K71" s="2"/>
      <c r="L71" s="7">
        <f t="shared" si="54"/>
        <v>50</v>
      </c>
      <c r="M71" s="2"/>
      <c r="N71" s="8">
        <f t="shared" si="55"/>
        <v>0.19305019305019305</v>
      </c>
      <c r="O71" s="11"/>
      <c r="P71" s="7">
        <v>526</v>
      </c>
      <c r="Q71" s="2"/>
      <c r="R71" s="8">
        <f t="shared" si="56"/>
        <v>2.071876222175559E-3</v>
      </c>
      <c r="S71" s="2"/>
      <c r="T71" s="7">
        <v>518</v>
      </c>
      <c r="U71" s="2"/>
      <c r="V71" s="8">
        <f t="shared" si="57"/>
        <v>1.109895035640915E-2</v>
      </c>
      <c r="W71" s="2"/>
      <c r="X71" s="7">
        <f t="shared" si="58"/>
        <v>8</v>
      </c>
      <c r="Y71" s="2"/>
      <c r="Z71" s="8">
        <f t="shared" si="59"/>
        <v>1.5444015444015444E-2</v>
      </c>
    </row>
    <row r="72" spans="1:26" s="28" customFormat="1" outlineLevel="1" collapsed="1" x14ac:dyDescent="0.3">
      <c r="A72" s="29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SUM(OSRRefD22_14x_0)</f>
        <v>0</v>
      </c>
      <c r="E72" s="1"/>
      <c r="F72" s="5">
        <f t="shared" si="52"/>
        <v>0</v>
      </c>
      <c r="G72" s="1"/>
      <c r="H72" s="1">
        <f>SUM(OSRRefH22_14x_0)</f>
        <v>350</v>
      </c>
      <c r="I72" s="1"/>
      <c r="J72" s="5">
        <f t="shared" si="53"/>
        <v>7.4992907813575338E-3</v>
      </c>
      <c r="K72" s="1"/>
      <c r="L72" s="1">
        <f t="shared" si="54"/>
        <v>-350</v>
      </c>
      <c r="M72" s="1"/>
      <c r="N72" s="5">
        <f t="shared" si="55"/>
        <v>-1</v>
      </c>
      <c r="O72" s="14"/>
      <c r="P72" s="1">
        <f>SUM(OSRRefP22_14x_0)</f>
        <v>0</v>
      </c>
      <c r="Q72" s="1"/>
      <c r="R72" s="5">
        <f t="shared" si="56"/>
        <v>0</v>
      </c>
      <c r="S72" s="1"/>
      <c r="T72" s="1">
        <f>SUM(OSRRefT22_14x_0)</f>
        <v>350</v>
      </c>
      <c r="U72" s="1"/>
      <c r="V72" s="5">
        <f t="shared" si="57"/>
        <v>7.4992907813575338E-3</v>
      </c>
      <c r="W72" s="1"/>
      <c r="X72" s="1">
        <f t="shared" si="58"/>
        <v>-350</v>
      </c>
      <c r="Y72" s="1"/>
      <c r="Z72" s="5">
        <f t="shared" si="59"/>
        <v>-1</v>
      </c>
    </row>
    <row r="73" spans="1:26" s="24" customFormat="1" hidden="1" outlineLevel="2" x14ac:dyDescent="0.3">
      <c r="A73" s="27"/>
      <c r="B73" s="11" t="str">
        <f>CONCATENATE("          ", "6376", " - ", "TRAINING")</f>
        <v xml:space="preserve">          6376 - TRAINING</v>
      </c>
      <c r="C73" s="11"/>
      <c r="D73" s="7"/>
      <c r="E73" s="2"/>
      <c r="F73" s="8">
        <f t="shared" si="52"/>
        <v>0</v>
      </c>
      <c r="G73" s="2"/>
      <c r="H73" s="7">
        <v>350</v>
      </c>
      <c r="I73" s="2"/>
      <c r="J73" s="8">
        <f t="shared" si="53"/>
        <v>7.4992907813575338E-3</v>
      </c>
      <c r="K73" s="2"/>
      <c r="L73" s="7">
        <f t="shared" si="54"/>
        <v>-350</v>
      </c>
      <c r="M73" s="2"/>
      <c r="N73" s="8">
        <f t="shared" si="55"/>
        <v>-1</v>
      </c>
      <c r="O73" s="11"/>
      <c r="P73" s="7"/>
      <c r="Q73" s="2"/>
      <c r="R73" s="8">
        <f t="shared" si="56"/>
        <v>0</v>
      </c>
      <c r="S73" s="2"/>
      <c r="T73" s="7">
        <v>350</v>
      </c>
      <c r="U73" s="2"/>
      <c r="V73" s="8">
        <f t="shared" si="57"/>
        <v>7.4992907813575338E-3</v>
      </c>
      <c r="W73" s="2"/>
      <c r="X73" s="7">
        <f t="shared" si="58"/>
        <v>-350</v>
      </c>
      <c r="Y73" s="2"/>
      <c r="Z73" s="8">
        <f t="shared" si="59"/>
        <v>-1</v>
      </c>
    </row>
    <row r="74" spans="1:26" s="61" customFormat="1" x14ac:dyDescent="0.3">
      <c r="A74" s="37"/>
      <c r="B74" s="37"/>
      <c r="C74" s="37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7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3">
      <c r="A75" s="10"/>
      <c r="B75" s="26" t="s">
        <v>292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3">
      <c r="A76" s="9"/>
      <c r="B76" s="10"/>
      <c r="C76" s="10"/>
      <c r="D76" s="3"/>
      <c r="E76" s="3"/>
      <c r="F76" s="6"/>
      <c r="G76" s="3"/>
      <c r="H76" s="3"/>
      <c r="I76" s="3"/>
      <c r="J76" s="6"/>
      <c r="K76" s="3"/>
      <c r="L76" s="3"/>
      <c r="M76" s="3"/>
      <c r="N76" s="6"/>
      <c r="O76" s="10"/>
      <c r="P76" s="3"/>
      <c r="Q76" s="3"/>
      <c r="R76" s="6"/>
      <c r="S76" s="3"/>
      <c r="T76" s="3"/>
      <c r="U76" s="3"/>
      <c r="V76" s="6"/>
      <c r="W76" s="3"/>
      <c r="X76" s="3"/>
      <c r="Y76" s="3"/>
      <c r="Z76" s="6"/>
    </row>
    <row r="77" spans="1:26" s="23" customFormat="1" x14ac:dyDescent="0.3">
      <c r="A77" s="10"/>
      <c r="B77" s="25" t="s">
        <v>276</v>
      </c>
      <c r="C77" s="25"/>
      <c r="D77" s="20">
        <f>+D21-D23+D75</f>
        <v>9728.1300000000047</v>
      </c>
      <c r="E77" s="13"/>
      <c r="F77" s="22">
        <f>IF(D$12=0,0,D77/D$12)</f>
        <v>4.2133395631715753E-2</v>
      </c>
      <c r="G77" s="13"/>
      <c r="H77" s="20">
        <f>+H21-H23+H75</f>
        <v>-80866.709999999992</v>
      </c>
      <c r="I77" s="13"/>
      <c r="J77" s="22">
        <f>IF(H$12=0,0,H77/H$12)</f>
        <v>-1.7326942080620373</v>
      </c>
      <c r="K77" s="15"/>
      <c r="L77" s="20">
        <f>+D77-H77</f>
        <v>90594.84</v>
      </c>
      <c r="M77" s="15"/>
      <c r="N77" s="22">
        <f>IF(H77=0,0,L77/H77)</f>
        <v>-1.1202983279522563</v>
      </c>
      <c r="O77" s="26"/>
      <c r="P77" s="20">
        <f>+P21-P23+P75</f>
        <v>-76104.109999999899</v>
      </c>
      <c r="Q77" s="13"/>
      <c r="R77" s="22">
        <f>IF(P$12=0,0,P77/P$12)</f>
        <v>-0.29976862341983451</v>
      </c>
      <c r="S77" s="13"/>
      <c r="T77" s="20">
        <f>+T21-T23+T75</f>
        <v>-145419.55000000002</v>
      </c>
      <c r="U77" s="13"/>
      <c r="V77" s="22">
        <f>IF(T$12=0,0,T77/T$12)</f>
        <v>-3.1158385449833177</v>
      </c>
      <c r="W77" s="15"/>
      <c r="X77" s="20">
        <f>+P77-T77</f>
        <v>69315.440000000119</v>
      </c>
      <c r="Y77" s="15"/>
      <c r="Z77" s="22">
        <f>IF(T77=0,0,X77/T77)</f>
        <v>-0.47665833101532845</v>
      </c>
    </row>
    <row r="78" spans="1:26" x14ac:dyDescent="0.3">
      <c r="A78" s="9"/>
      <c r="B78" s="10"/>
      <c r="C78" s="9"/>
      <c r="D78" s="3"/>
      <c r="E78" s="3"/>
      <c r="F78" s="6"/>
      <c r="G78" s="3"/>
      <c r="H78" s="3"/>
      <c r="I78" s="3"/>
      <c r="J78" s="6"/>
      <c r="K78" s="3"/>
      <c r="L78" s="3"/>
      <c r="M78" s="3"/>
      <c r="N78" s="6"/>
      <c r="P78" s="3"/>
      <c r="Q78" s="3"/>
      <c r="R78" s="6"/>
      <c r="S78" s="3"/>
      <c r="T78" s="3"/>
      <c r="U78" s="3"/>
      <c r="V78" s="6"/>
      <c r="W78" s="3"/>
      <c r="X78" s="3"/>
      <c r="Y78" s="3"/>
      <c r="Z78" s="6"/>
    </row>
    <row r="79" spans="1:26" s="23" customFormat="1" x14ac:dyDescent="0.3">
      <c r="A79" s="51"/>
      <c r="B79" s="10" t="s">
        <v>127</v>
      </c>
      <c r="C79" s="10"/>
      <c r="D79" s="4">
        <v>27317.4</v>
      </c>
      <c r="E79" s="4"/>
      <c r="F79" s="12">
        <f>IF(D$12=0,0,D79/D$12)</f>
        <v>0.11831408727369302</v>
      </c>
      <c r="G79" s="4"/>
      <c r="H79" s="4">
        <v>7879.78</v>
      </c>
      <c r="I79" s="4"/>
      <c r="J79" s="12">
        <f>IF(H$12=0,0,H79/H$12)</f>
        <v>0.16883646146607276</v>
      </c>
      <c r="K79" s="4"/>
      <c r="L79" s="4">
        <f>+D79-H79</f>
        <v>19437.620000000003</v>
      </c>
      <c r="M79" s="4"/>
      <c r="N79" s="12">
        <f>IF(H79=0,0,L79/H79)</f>
        <v>2.4667719149519405</v>
      </c>
      <c r="O79" s="10"/>
      <c r="P79" s="4">
        <v>37937.47</v>
      </c>
      <c r="Q79" s="4"/>
      <c r="R79" s="12">
        <f>IF(P$12=0,0,P79/P$12)</f>
        <v>0.14943296962452207</v>
      </c>
      <c r="S79" s="4"/>
      <c r="T79" s="4">
        <v>7879.78</v>
      </c>
      <c r="U79" s="4"/>
      <c r="V79" s="12">
        <f>IF(T$12=0,0,T79/T$12)</f>
        <v>0.16883646146607276</v>
      </c>
      <c r="W79" s="4"/>
      <c r="X79" s="4">
        <f>+P79-T79</f>
        <v>30057.690000000002</v>
      </c>
      <c r="Y79" s="4"/>
      <c r="Z79" s="12">
        <f>IF(T79=0,0,X79/T79)</f>
        <v>3.8145341621212778</v>
      </c>
    </row>
    <row r="80" spans="1:26" x14ac:dyDescent="0.3">
      <c r="A80" s="9"/>
      <c r="B80" s="10"/>
      <c r="C80" s="10"/>
      <c r="D80" s="3"/>
      <c r="E80" s="3"/>
      <c r="F80" s="6"/>
      <c r="G80" s="3"/>
      <c r="H80" s="3"/>
      <c r="I80" s="3"/>
      <c r="J80" s="6"/>
      <c r="K80" s="3"/>
      <c r="L80" s="3"/>
      <c r="M80" s="3"/>
      <c r="N80" s="6"/>
      <c r="O80" s="10"/>
      <c r="P80" s="3"/>
      <c r="Q80" s="3"/>
      <c r="R80" s="6"/>
      <c r="S80" s="3"/>
      <c r="T80" s="3"/>
      <c r="U80" s="3"/>
      <c r="V80" s="6"/>
      <c r="W80" s="3"/>
      <c r="X80" s="3"/>
      <c r="Y80" s="3"/>
      <c r="Z80" s="6"/>
    </row>
    <row r="81" spans="1:26" s="23" customFormat="1" ht="15" thickBot="1" x14ac:dyDescent="0.35">
      <c r="A81" s="10"/>
      <c r="B81" s="25" t="s">
        <v>125</v>
      </c>
      <c r="C81" s="25"/>
      <c r="D81" s="33">
        <f>+D77-D79</f>
        <v>-17589.269999999997</v>
      </c>
      <c r="E81" s="13"/>
      <c r="F81" s="36">
        <f>IF(D$12=0,0,D81/D$12)</f>
        <v>-7.6180691641977272E-2</v>
      </c>
      <c r="G81" s="13"/>
      <c r="H81" s="33">
        <f>+H77-H79</f>
        <v>-88746.489999999991</v>
      </c>
      <c r="I81" s="13"/>
      <c r="J81" s="36">
        <f>IF(H$12=0,0,H81/H$12)</f>
        <v>-1.90153066952811</v>
      </c>
      <c r="K81" s="15"/>
      <c r="L81" s="33">
        <f>D81-H81</f>
        <v>71157.22</v>
      </c>
      <c r="M81" s="15"/>
      <c r="N81" s="36">
        <f>IF(H81=0,0,L81/H81)</f>
        <v>-0.80180320370980318</v>
      </c>
      <c r="O81" s="26"/>
      <c r="P81" s="33">
        <f>+P77-P79</f>
        <v>-114041.5799999999</v>
      </c>
      <c r="Q81" s="13"/>
      <c r="R81" s="36">
        <f>IF(P$12=0,0,P81/P$12)</f>
        <v>-0.44920159304435658</v>
      </c>
      <c r="S81" s="13"/>
      <c r="T81" s="33">
        <f>+T77-T79</f>
        <v>-153299.33000000002</v>
      </c>
      <c r="U81" s="13"/>
      <c r="V81" s="36">
        <f>IF(T$12=0,0,T81/T$12)</f>
        <v>-3.2846750064493904</v>
      </c>
      <c r="W81" s="15"/>
      <c r="X81" s="33">
        <f>P81-T81</f>
        <v>39257.750000000116</v>
      </c>
      <c r="Y81" s="15"/>
      <c r="Z81" s="36">
        <f>IF(T81=0,0,X81/T81)</f>
        <v>-0.25608559411186022</v>
      </c>
    </row>
    <row r="82" spans="1:26" ht="15" thickTop="1" x14ac:dyDescent="0.3">
      <c r="A82" s="9"/>
      <c r="B82" s="9"/>
      <c r="C82" s="9"/>
      <c r="D82" s="3"/>
      <c r="E82" s="3"/>
      <c r="F82" s="6"/>
      <c r="G82" s="3"/>
      <c r="H82" s="3"/>
      <c r="I82" s="3"/>
      <c r="J82" s="6"/>
      <c r="K82" s="3"/>
      <c r="L82" s="3"/>
      <c r="M82" s="3"/>
      <c r="N82" s="6"/>
      <c r="P82" s="3"/>
      <c r="Q82" s="3"/>
      <c r="R82" s="6"/>
      <c r="S82" s="3"/>
      <c r="T82" s="3"/>
      <c r="U82" s="3"/>
      <c r="V82" s="6"/>
      <c r="W82" s="3"/>
      <c r="X82" s="3"/>
      <c r="Y82" s="3"/>
      <c r="Z82" s="6"/>
    </row>
    <row r="83" spans="1:26" x14ac:dyDescent="0.3">
      <c r="A83" s="9"/>
      <c r="B83" s="9"/>
      <c r="C83" s="9"/>
      <c r="D83" s="3"/>
      <c r="E83" s="3"/>
      <c r="F83" s="6"/>
      <c r="G83" s="3"/>
      <c r="H83" s="3"/>
      <c r="I83" s="3"/>
      <c r="J83" s="6"/>
      <c r="K83" s="3"/>
      <c r="L83" s="3"/>
      <c r="M83" s="3"/>
      <c r="N83" s="6"/>
      <c r="P83" s="3"/>
      <c r="Q83" s="3"/>
      <c r="R83" s="6"/>
      <c r="S83" s="3"/>
      <c r="T83" s="3"/>
      <c r="U83" s="3"/>
      <c r="V83" s="6"/>
      <c r="W83" s="3"/>
      <c r="X83" s="3"/>
      <c r="Y83" s="3"/>
      <c r="Z83" s="6"/>
    </row>
    <row r="84" spans="1:26" s="23" customFormat="1" ht="15" thickBot="1" x14ac:dyDescent="0.35">
      <c r="A84" s="10"/>
      <c r="B84" s="25" t="s">
        <v>293</v>
      </c>
      <c r="C84" s="25"/>
      <c r="D84" s="30">
        <f>SUM(D81:D83)</f>
        <v>-17589.269999999997</v>
      </c>
      <c r="E84" s="13"/>
      <c r="F84" s="31">
        <f>IF(D$12=0,0,D84/D$12)</f>
        <v>-7.6180691641977272E-2</v>
      </c>
      <c r="G84" s="13"/>
      <c r="H84" s="30">
        <f>SUM(H81:H83)</f>
        <v>-88746.489999999991</v>
      </c>
      <c r="I84" s="13"/>
      <c r="J84" s="31">
        <f>IF(H$12=0,0,H84/H$12)</f>
        <v>-1.90153066952811</v>
      </c>
      <c r="K84" s="15"/>
      <c r="L84" s="30">
        <f>+D84-H84</f>
        <v>71157.22</v>
      </c>
      <c r="M84" s="15"/>
      <c r="N84" s="31">
        <f>IF(H84=0,0,L84/H84)</f>
        <v>-0.80180320370980318</v>
      </c>
      <c r="O84" s="26"/>
      <c r="P84" s="30">
        <f>SUM(P81:P83)</f>
        <v>-114041.5799999999</v>
      </c>
      <c r="Q84" s="13"/>
      <c r="R84" s="31">
        <f>IF(P$12=0,0,P84/P$12)</f>
        <v>-0.44920159304435658</v>
      </c>
      <c r="S84" s="13"/>
      <c r="T84" s="30">
        <f>SUM(T81:T83)</f>
        <v>-153299.33000000002</v>
      </c>
      <c r="U84" s="13"/>
      <c r="V84" s="31">
        <f>IF(T$12=0,0,T84/T$12)</f>
        <v>-3.2846750064493904</v>
      </c>
      <c r="W84" s="15"/>
      <c r="X84" s="30">
        <f>+P84-T84</f>
        <v>39257.750000000116</v>
      </c>
      <c r="Y84" s="15"/>
      <c r="Z84" s="31">
        <f>IF(T84=0,0,X84/T84)</f>
        <v>-0.25608559411186022</v>
      </c>
    </row>
    <row r="85" spans="1:26" ht="15" thickTop="1" x14ac:dyDescent="0.3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3">
      <c r="A86" s="9"/>
      <c r="B86" s="59">
        <v>44470.840542939812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3">
      <c r="A87" s="9"/>
      <c r="B87" s="58" t="s">
        <v>56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3">
      <c r="A88" s="9"/>
      <c r="B88" s="52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3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","450", " - ", "Beachside Dining Hall")</f>
        <v>Department 450 - Beachside Dining Hall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41892.78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41892.78</v>
      </c>
      <c r="M12" s="4"/>
      <c r="N12" s="12">
        <f t="shared" ref="N12:N14" si="1">IF(H12=0,0,L12/H12)</f>
        <v>0</v>
      </c>
      <c r="O12" s="10"/>
      <c r="P12" s="4">
        <f>SUM(OSRRefP13x_0)</f>
        <v>41892.78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41892.78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"4151", " - ", "NON-TAXABLE SALES-FOOD")</f>
        <v xml:space="preserve">          4151 - NON-TAXABLE SALES-FOOD</v>
      </c>
      <c r="C13" s="11"/>
      <c r="D13" s="2">
        <f>--41610.58</f>
        <v>41610.58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41610.58</v>
      </c>
      <c r="M13" s="2"/>
      <c r="N13" s="19">
        <f t="shared" si="1"/>
        <v>0</v>
      </c>
      <c r="O13" s="11"/>
      <c r="P13" s="2">
        <f>--41610.58</f>
        <v>41610.58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41610.58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--282.2</f>
        <v>282.2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282.2</v>
      </c>
      <c r="M14" s="2"/>
      <c r="N14" s="19">
        <f t="shared" si="1"/>
        <v>0</v>
      </c>
      <c r="O14" s="11"/>
      <c r="P14" s="2">
        <f>--282.2</f>
        <v>282.2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282.2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6"/>
      <c r="G15" s="3"/>
      <c r="H15" s="3"/>
      <c r="I15" s="3"/>
      <c r="J15" s="6"/>
      <c r="K15" s="3"/>
      <c r="L15" s="3"/>
      <c r="M15" s="3"/>
      <c r="N15" s="6"/>
      <c r="P15" s="3"/>
      <c r="Q15" s="3"/>
      <c r="R15" s="6"/>
      <c r="S15" s="3"/>
      <c r="T15" s="3"/>
      <c r="U15" s="3"/>
      <c r="V15" s="6"/>
      <c r="W15" s="3"/>
      <c r="X15" s="3"/>
      <c r="Y15" s="3"/>
      <c r="Z15" s="6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34326.449999999997</v>
      </c>
      <c r="E16" s="4"/>
      <c r="F16" s="12">
        <f t="shared" ref="F16:F18" si="6">IF(D$12=0,0,D16/D$12)</f>
        <v>0.81938820961511738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34326.449999999997</v>
      </c>
      <c r="M16" s="4"/>
      <c r="N16" s="12">
        <f t="shared" ref="N16:N18" si="9">IF(H16=0,0,L16/H16)</f>
        <v>0</v>
      </c>
      <c r="O16" s="10"/>
      <c r="P16" s="4">
        <f>SUM(OSRRefP16x_0)</f>
        <v>34326.449999999997</v>
      </c>
      <c r="Q16" s="4"/>
      <c r="R16" s="12">
        <f t="shared" ref="R16:R18" si="10">IF(P$12=0,0,P16/P$12)</f>
        <v>0.81938820961511738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34326.449999999997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47579.45</v>
      </c>
      <c r="E17" s="2"/>
      <c r="F17" s="19">
        <f t="shared" si="6"/>
        <v>1.1357434383681388</v>
      </c>
      <c r="G17" s="2"/>
      <c r="H17" s="2"/>
      <c r="I17" s="2"/>
      <c r="J17" s="19">
        <f t="shared" si="7"/>
        <v>0</v>
      </c>
      <c r="K17" s="2"/>
      <c r="L17" s="2">
        <f t="shared" si="8"/>
        <v>47579.45</v>
      </c>
      <c r="M17" s="2"/>
      <c r="N17" s="19">
        <f t="shared" si="9"/>
        <v>0</v>
      </c>
      <c r="O17" s="11"/>
      <c r="P17" s="2">
        <v>47579.45</v>
      </c>
      <c r="Q17" s="2"/>
      <c r="R17" s="19">
        <f t="shared" si="10"/>
        <v>1.1357434383681388</v>
      </c>
      <c r="S17" s="2"/>
      <c r="T17" s="2"/>
      <c r="U17" s="2"/>
      <c r="V17" s="19">
        <f t="shared" si="11"/>
        <v>0</v>
      </c>
      <c r="W17" s="2"/>
      <c r="X17" s="2">
        <f t="shared" si="12"/>
        <v>47579.45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-13253</v>
      </c>
      <c r="E18" s="2"/>
      <c r="F18" s="19">
        <f t="shared" si="6"/>
        <v>-0.31635522875302141</v>
      </c>
      <c r="G18" s="2"/>
      <c r="H18" s="2"/>
      <c r="I18" s="2"/>
      <c r="J18" s="19">
        <f t="shared" si="7"/>
        <v>0</v>
      </c>
      <c r="K18" s="2"/>
      <c r="L18" s="2">
        <f t="shared" si="8"/>
        <v>-13253</v>
      </c>
      <c r="M18" s="2"/>
      <c r="N18" s="19">
        <f t="shared" si="9"/>
        <v>0</v>
      </c>
      <c r="O18" s="11"/>
      <c r="P18" s="2">
        <v>-13253</v>
      </c>
      <c r="Q18" s="2"/>
      <c r="R18" s="19">
        <f t="shared" si="10"/>
        <v>-0.31635522875302141</v>
      </c>
      <c r="S18" s="2"/>
      <c r="T18" s="2"/>
      <c r="U18" s="2"/>
      <c r="V18" s="19">
        <f t="shared" si="11"/>
        <v>0</v>
      </c>
      <c r="W18" s="2"/>
      <c r="X18" s="2">
        <f t="shared" si="12"/>
        <v>-13253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6"/>
      <c r="G19" s="3"/>
      <c r="H19" s="3"/>
      <c r="I19" s="3"/>
      <c r="J19" s="6"/>
      <c r="K19" s="3"/>
      <c r="L19" s="3"/>
      <c r="M19" s="3"/>
      <c r="N19" s="6"/>
      <c r="O19" s="10"/>
      <c r="P19" s="3"/>
      <c r="Q19" s="3"/>
      <c r="R19" s="6"/>
      <c r="S19" s="3"/>
      <c r="T19" s="3"/>
      <c r="U19" s="3"/>
      <c r="V19" s="6"/>
      <c r="W19" s="3"/>
      <c r="X19" s="3"/>
      <c r="Y19" s="3"/>
      <c r="Z19" s="6"/>
    </row>
    <row r="20" spans="1:26" s="23" customFormat="1" x14ac:dyDescent="0.3">
      <c r="A20" s="10"/>
      <c r="B20" s="25" t="s">
        <v>107</v>
      </c>
      <c r="C20" s="25"/>
      <c r="D20" s="20">
        <f>D12-D16</f>
        <v>7566.3300000000017</v>
      </c>
      <c r="E20" s="13"/>
      <c r="F20" s="22">
        <f>IF(D$12=0,0,D20/D$12)</f>
        <v>0.18061179038488259</v>
      </c>
      <c r="G20" s="13"/>
      <c r="H20" s="20">
        <f>H12-H16</f>
        <v>0</v>
      </c>
      <c r="I20" s="13"/>
      <c r="J20" s="22">
        <f>IF(H$12=0,0,H20/H$12)</f>
        <v>0</v>
      </c>
      <c r="K20" s="15"/>
      <c r="L20" s="20">
        <f>+D20-H20</f>
        <v>7566.3300000000017</v>
      </c>
      <c r="M20" s="15"/>
      <c r="N20" s="22">
        <f>IF(H20=0,0,L20/H20)</f>
        <v>0</v>
      </c>
      <c r="O20" s="26"/>
      <c r="P20" s="20">
        <f>P12-P16</f>
        <v>7566.3300000000017</v>
      </c>
      <c r="Q20" s="13"/>
      <c r="R20" s="22">
        <f>IF(P$12=0,0,P20/P$12)</f>
        <v>0.18061179038488259</v>
      </c>
      <c r="S20" s="13"/>
      <c r="T20" s="20">
        <f>T12-T16</f>
        <v>0</v>
      </c>
      <c r="U20" s="13"/>
      <c r="V20" s="22">
        <f>IF(T$12=0,0,T20/T$12)</f>
        <v>0</v>
      </c>
      <c r="W20" s="15"/>
      <c r="X20" s="20">
        <f>+P20-T20</f>
        <v>7566.3300000000017</v>
      </c>
      <c r="Y20" s="15"/>
      <c r="Z20" s="22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1">
        <f>SUM(OSRRefD22x_0)</f>
        <v>72082.450000000012</v>
      </c>
      <c r="E22" s="21"/>
      <c r="F22" s="32">
        <f t="shared" ref="F22:F32" si="14">IF(D$12=0,0,D22/D$12)</f>
        <v>1.7206413611128222</v>
      </c>
      <c r="G22" s="21"/>
      <c r="H22" s="21">
        <f>SUM(OSRRefH22x_0)</f>
        <v>38261.779999999992</v>
      </c>
      <c r="I22" s="21"/>
      <c r="J22" s="32">
        <f t="shared" ref="J22:J32" si="15">IF(H$12=0,0,H22/H$12)</f>
        <v>0</v>
      </c>
      <c r="K22" s="4"/>
      <c r="L22" s="21">
        <f t="shared" ref="L22:L32" si="16">+D22-H22</f>
        <v>33820.67000000002</v>
      </c>
      <c r="M22" s="4"/>
      <c r="N22" s="32">
        <f t="shared" ref="N22:N32" si="17">IF(H22=0,0,L22/H22)</f>
        <v>0.88392829606986467</v>
      </c>
      <c r="O22" s="10"/>
      <c r="P22" s="21">
        <f>SUM(OSRRefP22x_0)</f>
        <v>112847.17999999998</v>
      </c>
      <c r="Q22" s="21"/>
      <c r="R22" s="32">
        <f t="shared" ref="R22:R32" si="18">IF(P$12=0,0,P22/P$12)</f>
        <v>2.6937142868055064</v>
      </c>
      <c r="S22" s="21"/>
      <c r="T22" s="21">
        <f>SUM(OSRRefT22x_0)</f>
        <v>78621.920000000013</v>
      </c>
      <c r="U22" s="21"/>
      <c r="V22" s="32">
        <f t="shared" ref="V22:V32" si="19">IF(T$12=0,0,T22/T$12)</f>
        <v>0</v>
      </c>
      <c r="W22" s="4"/>
      <c r="X22" s="21">
        <f t="shared" ref="X22:X32" si="20">+P22-T22</f>
        <v>34225.259999999966</v>
      </c>
      <c r="Y22" s="4"/>
      <c r="Z22" s="32">
        <f t="shared" ref="Z22:Z32" si="21">IF(T22=0,0,X22/T22)</f>
        <v>0.43531447718397059</v>
      </c>
    </row>
    <row r="23" spans="1:26" s="28" customFormat="1" outlineLevel="1" collapsed="1" x14ac:dyDescent="0.3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20397.68</v>
      </c>
      <c r="E23" s="1"/>
      <c r="F23" s="5">
        <f t="shared" si="14"/>
        <v>0.4869020389670965</v>
      </c>
      <c r="G23" s="1"/>
      <c r="H23" s="1">
        <f>SUM(OSRRefH22_0x_0)</f>
        <v>18954.719999999998</v>
      </c>
      <c r="I23" s="1"/>
      <c r="J23" s="5">
        <f t="shared" si="15"/>
        <v>0</v>
      </c>
      <c r="K23" s="1"/>
      <c r="L23" s="1">
        <f t="shared" si="16"/>
        <v>1442.9600000000028</v>
      </c>
      <c r="M23" s="1"/>
      <c r="N23" s="5">
        <f t="shared" si="17"/>
        <v>7.6126685068415828E-2</v>
      </c>
      <c r="O23" s="14"/>
      <c r="P23" s="1">
        <f>SUM(OSRRefP22_0x_0)</f>
        <v>38902.54</v>
      </c>
      <c r="Q23" s="1"/>
      <c r="R23" s="5">
        <f t="shared" si="18"/>
        <v>0.9286215906416333</v>
      </c>
      <c r="S23" s="1"/>
      <c r="T23" s="1">
        <f>SUM(OSRRefT22_0x_0)</f>
        <v>38134.450000000004</v>
      </c>
      <c r="U23" s="1"/>
      <c r="V23" s="5">
        <f t="shared" si="19"/>
        <v>0</v>
      </c>
      <c r="W23" s="1"/>
      <c r="X23" s="1">
        <f t="shared" si="20"/>
        <v>768.08999999999651</v>
      </c>
      <c r="Y23" s="1"/>
      <c r="Z23" s="5">
        <f t="shared" si="21"/>
        <v>2.0141630467988825E-2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7">
        <v>2187.8000000000002</v>
      </c>
      <c r="E24" s="2"/>
      <c r="F24" s="8">
        <f t="shared" si="14"/>
        <v>5.2223796081329536E-2</v>
      </c>
      <c r="G24" s="2"/>
      <c r="H24" s="7">
        <v>1597.77</v>
      </c>
      <c r="I24" s="2"/>
      <c r="J24" s="8">
        <f t="shared" si="15"/>
        <v>0</v>
      </c>
      <c r="K24" s="2"/>
      <c r="L24" s="7">
        <f t="shared" si="16"/>
        <v>590.0300000000002</v>
      </c>
      <c r="M24" s="2"/>
      <c r="N24" s="8">
        <f t="shared" si="17"/>
        <v>0.36928343879281761</v>
      </c>
      <c r="O24" s="11"/>
      <c r="P24" s="7">
        <v>3565.04</v>
      </c>
      <c r="Q24" s="2"/>
      <c r="R24" s="8">
        <f t="shared" si="18"/>
        <v>8.5099150736714063E-2</v>
      </c>
      <c r="S24" s="2"/>
      <c r="T24" s="7">
        <v>2925.18</v>
      </c>
      <c r="U24" s="2"/>
      <c r="V24" s="8">
        <f t="shared" si="19"/>
        <v>0</v>
      </c>
      <c r="W24" s="2"/>
      <c r="X24" s="7">
        <f t="shared" si="20"/>
        <v>639.86000000000013</v>
      </c>
      <c r="Y24" s="2"/>
      <c r="Z24" s="8">
        <f t="shared" si="21"/>
        <v>0.21874209450358617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7">
        <v>973.22</v>
      </c>
      <c r="E25" s="2"/>
      <c r="F25" s="8">
        <f t="shared" si="14"/>
        <v>2.3231210724139102E-2</v>
      </c>
      <c r="G25" s="2"/>
      <c r="H25" s="7">
        <v>805.48</v>
      </c>
      <c r="I25" s="2"/>
      <c r="J25" s="8">
        <f t="shared" si="15"/>
        <v>0</v>
      </c>
      <c r="K25" s="2"/>
      <c r="L25" s="7">
        <f t="shared" si="16"/>
        <v>167.74</v>
      </c>
      <c r="M25" s="2"/>
      <c r="N25" s="8">
        <f t="shared" si="17"/>
        <v>0.20824849779013757</v>
      </c>
      <c r="O25" s="11"/>
      <c r="P25" s="7">
        <v>1620.21</v>
      </c>
      <c r="Q25" s="2"/>
      <c r="R25" s="8">
        <f t="shared" si="18"/>
        <v>3.8675160731753776E-2</v>
      </c>
      <c r="S25" s="2"/>
      <c r="T25" s="7">
        <v>1533.11</v>
      </c>
      <c r="U25" s="2"/>
      <c r="V25" s="8">
        <f t="shared" si="19"/>
        <v>0</v>
      </c>
      <c r="W25" s="2"/>
      <c r="X25" s="7">
        <f t="shared" si="20"/>
        <v>87.100000000000136</v>
      </c>
      <c r="Y25" s="2"/>
      <c r="Z25" s="8">
        <f t="shared" si="21"/>
        <v>5.6812622708090184E-2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7">
        <v>12451.66</v>
      </c>
      <c r="E26" s="2"/>
      <c r="F26" s="8">
        <f t="shared" si="14"/>
        <v>0.29722687298384115</v>
      </c>
      <c r="G26" s="2"/>
      <c r="H26" s="7">
        <v>12616.93</v>
      </c>
      <c r="I26" s="2"/>
      <c r="J26" s="8">
        <f t="shared" si="15"/>
        <v>0</v>
      </c>
      <c r="K26" s="2"/>
      <c r="L26" s="7">
        <f t="shared" si="16"/>
        <v>-165.27000000000044</v>
      </c>
      <c r="M26" s="2"/>
      <c r="N26" s="8">
        <f t="shared" si="17"/>
        <v>-1.3099066096110577E-2</v>
      </c>
      <c r="O26" s="11"/>
      <c r="P26" s="7">
        <v>24903.33</v>
      </c>
      <c r="Q26" s="2"/>
      <c r="R26" s="8">
        <f t="shared" si="18"/>
        <v>0.59445398467229915</v>
      </c>
      <c r="S26" s="2"/>
      <c r="T26" s="7">
        <v>25233.89</v>
      </c>
      <c r="U26" s="2"/>
      <c r="V26" s="8">
        <f t="shared" si="19"/>
        <v>0</v>
      </c>
      <c r="W26" s="2"/>
      <c r="X26" s="7">
        <f t="shared" si="20"/>
        <v>-330.55999999999767</v>
      </c>
      <c r="Y26" s="2"/>
      <c r="Z26" s="8">
        <f t="shared" si="21"/>
        <v>-1.3099843107820383E-2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7">
        <v>70.290000000000006</v>
      </c>
      <c r="E27" s="2"/>
      <c r="F27" s="8">
        <f t="shared" si="14"/>
        <v>1.6778547520599017E-3</v>
      </c>
      <c r="G27" s="2"/>
      <c r="H27" s="7">
        <v>53.46</v>
      </c>
      <c r="I27" s="2"/>
      <c r="J27" s="8">
        <f t="shared" si="15"/>
        <v>0</v>
      </c>
      <c r="K27" s="2"/>
      <c r="L27" s="7">
        <f t="shared" si="16"/>
        <v>16.830000000000005</v>
      </c>
      <c r="M27" s="2"/>
      <c r="N27" s="8">
        <f t="shared" si="17"/>
        <v>0.31481481481481494</v>
      </c>
      <c r="O27" s="11"/>
      <c r="P27" s="7">
        <v>117.02</v>
      </c>
      <c r="Q27" s="2"/>
      <c r="R27" s="8">
        <f t="shared" si="18"/>
        <v>2.7933214267470432E-3</v>
      </c>
      <c r="S27" s="2"/>
      <c r="T27" s="7">
        <v>101.59</v>
      </c>
      <c r="U27" s="2"/>
      <c r="V27" s="8">
        <f t="shared" si="19"/>
        <v>0</v>
      </c>
      <c r="W27" s="2"/>
      <c r="X27" s="7">
        <f t="shared" si="20"/>
        <v>15.429999999999993</v>
      </c>
      <c r="Y27" s="2"/>
      <c r="Z27" s="8">
        <f t="shared" si="21"/>
        <v>0.15188502805394224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7">
        <v>685.93</v>
      </c>
      <c r="E28" s="2"/>
      <c r="F28" s="8">
        <f t="shared" si="14"/>
        <v>1.6373465785751148E-2</v>
      </c>
      <c r="G28" s="2"/>
      <c r="H28" s="7">
        <v>485.07</v>
      </c>
      <c r="I28" s="2"/>
      <c r="J28" s="8">
        <f t="shared" si="15"/>
        <v>0</v>
      </c>
      <c r="K28" s="2"/>
      <c r="L28" s="7">
        <f t="shared" si="16"/>
        <v>200.85999999999996</v>
      </c>
      <c r="M28" s="2"/>
      <c r="N28" s="8">
        <f t="shared" si="17"/>
        <v>0.4140845651143133</v>
      </c>
      <c r="O28" s="11"/>
      <c r="P28" s="7">
        <v>1173.3499999999999</v>
      </c>
      <c r="Q28" s="2"/>
      <c r="R28" s="8">
        <f t="shared" si="18"/>
        <v>2.8008406221788098E-2</v>
      </c>
      <c r="S28" s="2"/>
      <c r="T28" s="7">
        <v>1212.67</v>
      </c>
      <c r="U28" s="2"/>
      <c r="V28" s="8">
        <f t="shared" si="19"/>
        <v>0</v>
      </c>
      <c r="W28" s="2"/>
      <c r="X28" s="7">
        <f t="shared" si="20"/>
        <v>-39.320000000000164</v>
      </c>
      <c r="Y28" s="2"/>
      <c r="Z28" s="8">
        <f t="shared" si="21"/>
        <v>-3.2424319889170314E-2</v>
      </c>
    </row>
    <row r="29" spans="1:26" s="24" customFormat="1" hidden="1" outlineLevel="2" x14ac:dyDescent="0.3">
      <c r="A29" s="27"/>
      <c r="B29" s="11" t="str">
        <f>CONCATENATE("          ", "6117", " - ", "RETIREMENT STAFF HOURLY")</f>
        <v xml:space="preserve">          6117 - RETIREMENT STAFF HOURLY</v>
      </c>
      <c r="C29" s="11"/>
      <c r="D29" s="7">
        <v>921.45</v>
      </c>
      <c r="E29" s="2"/>
      <c r="F29" s="8">
        <f t="shared" si="14"/>
        <v>2.1995436922543694E-2</v>
      </c>
      <c r="G29" s="2"/>
      <c r="H29" s="7">
        <v>533.82000000000005</v>
      </c>
      <c r="I29" s="2"/>
      <c r="J29" s="8">
        <f t="shared" si="15"/>
        <v>0</v>
      </c>
      <c r="K29" s="2"/>
      <c r="L29" s="7">
        <f t="shared" si="16"/>
        <v>387.63</v>
      </c>
      <c r="M29" s="2"/>
      <c r="N29" s="8">
        <f t="shared" si="17"/>
        <v>0.72614364392491848</v>
      </c>
      <c r="O29" s="11"/>
      <c r="P29" s="7">
        <v>1433.64</v>
      </c>
      <c r="Q29" s="2"/>
      <c r="R29" s="8">
        <f t="shared" si="18"/>
        <v>3.4221648694596062E-2</v>
      </c>
      <c r="S29" s="2"/>
      <c r="T29" s="7">
        <v>1225.68</v>
      </c>
      <c r="U29" s="2"/>
      <c r="V29" s="8">
        <f t="shared" si="19"/>
        <v>0</v>
      </c>
      <c r="W29" s="2"/>
      <c r="X29" s="7">
        <f t="shared" si="20"/>
        <v>207.96000000000004</v>
      </c>
      <c r="Y29" s="2"/>
      <c r="Z29" s="8">
        <f t="shared" si="21"/>
        <v>0.16966908165263367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7">
        <v>1329.08</v>
      </c>
      <c r="E30" s="2"/>
      <c r="F30" s="8">
        <f t="shared" si="14"/>
        <v>3.1725753220483335E-2</v>
      </c>
      <c r="G30" s="2"/>
      <c r="H30" s="7">
        <v>1220.8699999999999</v>
      </c>
      <c r="I30" s="2"/>
      <c r="J30" s="8">
        <f t="shared" si="15"/>
        <v>0</v>
      </c>
      <c r="K30" s="2"/>
      <c r="L30" s="7">
        <f t="shared" si="16"/>
        <v>108.21000000000004</v>
      </c>
      <c r="M30" s="2"/>
      <c r="N30" s="8">
        <f t="shared" si="17"/>
        <v>8.8633515443904798E-2</v>
      </c>
      <c r="O30" s="11"/>
      <c r="P30" s="7">
        <v>2589.67</v>
      </c>
      <c r="Q30" s="2"/>
      <c r="R30" s="8">
        <f t="shared" si="18"/>
        <v>6.1816618519945445E-2</v>
      </c>
      <c r="S30" s="2"/>
      <c r="T30" s="7">
        <v>2420.4899999999998</v>
      </c>
      <c r="U30" s="2"/>
      <c r="V30" s="8">
        <f t="shared" si="19"/>
        <v>0</v>
      </c>
      <c r="W30" s="2"/>
      <c r="X30" s="7">
        <f t="shared" si="20"/>
        <v>169.18000000000029</v>
      </c>
      <c r="Y30" s="2"/>
      <c r="Z30" s="8">
        <f t="shared" si="21"/>
        <v>6.9894938628129136E-2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7">
        <v>1060.42</v>
      </c>
      <c r="E31" s="2"/>
      <c r="F31" s="8">
        <f t="shared" si="14"/>
        <v>2.5312714983345582E-2</v>
      </c>
      <c r="G31" s="2"/>
      <c r="H31" s="7">
        <v>946.52</v>
      </c>
      <c r="I31" s="2"/>
      <c r="J31" s="8">
        <f t="shared" si="15"/>
        <v>0</v>
      </c>
      <c r="K31" s="2"/>
      <c r="L31" s="7">
        <f t="shared" si="16"/>
        <v>113.90000000000009</v>
      </c>
      <c r="M31" s="2"/>
      <c r="N31" s="8">
        <f t="shared" si="17"/>
        <v>0.12033554494358291</v>
      </c>
      <c r="O31" s="11"/>
      <c r="P31" s="7">
        <v>2021.83</v>
      </c>
      <c r="Q31" s="2"/>
      <c r="R31" s="8">
        <f t="shared" si="18"/>
        <v>4.8262015554947656E-2</v>
      </c>
      <c r="S31" s="2"/>
      <c r="T31" s="7">
        <v>1893.04</v>
      </c>
      <c r="U31" s="2"/>
      <c r="V31" s="8">
        <f t="shared" si="19"/>
        <v>0</v>
      </c>
      <c r="W31" s="2"/>
      <c r="X31" s="7">
        <f t="shared" si="20"/>
        <v>128.78999999999996</v>
      </c>
      <c r="Y31" s="2"/>
      <c r="Z31" s="8">
        <f t="shared" si="21"/>
        <v>6.8033427714152883E-2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7">
        <v>717.83</v>
      </c>
      <c r="E32" s="2"/>
      <c r="F32" s="8">
        <f t="shared" si="14"/>
        <v>1.7134933513603061E-2</v>
      </c>
      <c r="G32" s="2"/>
      <c r="H32" s="7">
        <v>694.8</v>
      </c>
      <c r="I32" s="2"/>
      <c r="J32" s="8">
        <f t="shared" si="15"/>
        <v>0</v>
      </c>
      <c r="K32" s="2"/>
      <c r="L32" s="7">
        <f t="shared" si="16"/>
        <v>23.030000000000086</v>
      </c>
      <c r="M32" s="2"/>
      <c r="N32" s="8">
        <f t="shared" si="17"/>
        <v>3.3146229130685219E-2</v>
      </c>
      <c r="O32" s="11"/>
      <c r="P32" s="7">
        <v>1478.45</v>
      </c>
      <c r="Q32" s="2"/>
      <c r="R32" s="8">
        <f t="shared" si="18"/>
        <v>3.5291284082841962E-2</v>
      </c>
      <c r="S32" s="2"/>
      <c r="T32" s="7">
        <v>1588.8</v>
      </c>
      <c r="U32" s="2"/>
      <c r="V32" s="8">
        <f t="shared" si="19"/>
        <v>0</v>
      </c>
      <c r="W32" s="2"/>
      <c r="X32" s="7">
        <f t="shared" si="20"/>
        <v>-110.34999999999991</v>
      </c>
      <c r="Y32" s="2"/>
      <c r="Z32" s="8">
        <f t="shared" si="21"/>
        <v>-6.9454934541792496E-2</v>
      </c>
    </row>
    <row r="33" spans="1:26" s="28" customFormat="1" outlineLevel="1" collapsed="1" x14ac:dyDescent="0.3">
      <c r="A33" s="29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33411.229999999996</v>
      </c>
      <c r="E33" s="1"/>
      <c r="F33" s="5">
        <f t="shared" ref="F33:F37" si="22">IF(D$12=0,0,D33/D$12)</f>
        <v>0.79754148566889083</v>
      </c>
      <c r="G33" s="1"/>
      <c r="H33" s="1">
        <f>SUM(OSRRefH22_1x_0)</f>
        <v>18830.21</v>
      </c>
      <c r="I33" s="1"/>
      <c r="J33" s="5">
        <f t="shared" ref="J33:J37" si="23">IF(H$12=0,0,H33/H$12)</f>
        <v>0</v>
      </c>
      <c r="K33" s="1"/>
      <c r="L33" s="1">
        <f t="shared" ref="L33:L37" si="24">+D33-H33</f>
        <v>14581.019999999997</v>
      </c>
      <c r="M33" s="1"/>
      <c r="N33" s="5">
        <f t="shared" ref="N33:N37" si="25">IF(H33=0,0,L33/H33)</f>
        <v>0.77434186873115052</v>
      </c>
      <c r="O33" s="14"/>
      <c r="P33" s="1">
        <f>SUM(OSRRefP22_1x_0)</f>
        <v>52928.4</v>
      </c>
      <c r="Q33" s="1"/>
      <c r="R33" s="5">
        <f t="shared" ref="R33:R37" si="26">IF(P$12=0,0,P33/P$12)</f>
        <v>1.2634253444149566</v>
      </c>
      <c r="S33" s="1"/>
      <c r="T33" s="1">
        <f>SUM(OSRRefT22_1x_0)</f>
        <v>37573.51</v>
      </c>
      <c r="U33" s="1"/>
      <c r="V33" s="5">
        <f t="shared" ref="V33:V37" si="27">IF(T$12=0,0,T33/T$12)</f>
        <v>0</v>
      </c>
      <c r="W33" s="1"/>
      <c r="X33" s="1">
        <f t="shared" ref="X33:X37" si="28">+P33-T33</f>
        <v>15354.89</v>
      </c>
      <c r="Y33" s="1"/>
      <c r="Z33" s="5">
        <f t="shared" ref="Z33:Z37" si="29">IF(T33=0,0,X33/T33)</f>
        <v>0.40866264557130805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7">
        <v>4819.3900000000003</v>
      </c>
      <c r="E34" s="2"/>
      <c r="F34" s="8">
        <f t="shared" si="22"/>
        <v>0.11504106435524213</v>
      </c>
      <c r="G34" s="2"/>
      <c r="H34" s="7">
        <v>4397.32</v>
      </c>
      <c r="I34" s="2"/>
      <c r="J34" s="8">
        <f t="shared" si="23"/>
        <v>0</v>
      </c>
      <c r="K34" s="2"/>
      <c r="L34" s="7">
        <f t="shared" si="24"/>
        <v>422.07000000000062</v>
      </c>
      <c r="M34" s="2"/>
      <c r="N34" s="8">
        <f t="shared" si="25"/>
        <v>9.5983462654526092E-2</v>
      </c>
      <c r="O34" s="11"/>
      <c r="P34" s="7">
        <v>10419.39</v>
      </c>
      <c r="Q34" s="2"/>
      <c r="R34" s="8">
        <f t="shared" si="26"/>
        <v>0.2487156498088692</v>
      </c>
      <c r="S34" s="2"/>
      <c r="T34" s="7">
        <v>9234.0400000000009</v>
      </c>
      <c r="U34" s="2"/>
      <c r="V34" s="8">
        <f t="shared" si="27"/>
        <v>0</v>
      </c>
      <c r="W34" s="2"/>
      <c r="X34" s="7">
        <f t="shared" si="28"/>
        <v>1185.3499999999985</v>
      </c>
      <c r="Y34" s="2"/>
      <c r="Z34" s="8">
        <f t="shared" si="29"/>
        <v>0.12836743180666299</v>
      </c>
    </row>
    <row r="35" spans="1:26" s="24" customFormat="1" hidden="1" outlineLevel="2" x14ac:dyDescent="0.3">
      <c r="A35" s="27"/>
      <c r="B35" s="11" t="str">
        <f>CONCATENATE("          ", "6004", " - ", "STAFF HOURLY")</f>
        <v xml:space="preserve">          6004 - STAFF HOURLY</v>
      </c>
      <c r="C35" s="11"/>
      <c r="D35" s="7">
        <v>15407.3</v>
      </c>
      <c r="E35" s="2"/>
      <c r="F35" s="8">
        <f t="shared" si="22"/>
        <v>0.36777936436779796</v>
      </c>
      <c r="G35" s="2"/>
      <c r="H35" s="7">
        <v>15222.89</v>
      </c>
      <c r="I35" s="2"/>
      <c r="J35" s="8">
        <f t="shared" si="23"/>
        <v>0</v>
      </c>
      <c r="K35" s="2"/>
      <c r="L35" s="7">
        <f t="shared" si="24"/>
        <v>184.40999999999985</v>
      </c>
      <c r="M35" s="2"/>
      <c r="N35" s="8">
        <f t="shared" si="25"/>
        <v>1.2113994123323486E-2</v>
      </c>
      <c r="O35" s="11"/>
      <c r="P35" s="7">
        <v>27244.47</v>
      </c>
      <c r="Q35" s="2"/>
      <c r="R35" s="8">
        <f t="shared" si="26"/>
        <v>0.65033807734888927</v>
      </c>
      <c r="S35" s="2"/>
      <c r="T35" s="7">
        <v>25716.47</v>
      </c>
      <c r="U35" s="2"/>
      <c r="V35" s="8">
        <f t="shared" si="27"/>
        <v>0</v>
      </c>
      <c r="W35" s="2"/>
      <c r="X35" s="7">
        <f t="shared" si="28"/>
        <v>1528</v>
      </c>
      <c r="Y35" s="2"/>
      <c r="Z35" s="8">
        <f t="shared" si="29"/>
        <v>5.941717506329601E-2</v>
      </c>
    </row>
    <row r="36" spans="1:26" s="24" customFormat="1" hidden="1" outlineLevel="2" x14ac:dyDescent="0.3">
      <c r="A36" s="27"/>
      <c r="B36" s="11" t="str">
        <f>CONCATENATE("          ", "6005", " - ", "TEMPORARY WAGES-HOURLY")</f>
        <v xml:space="preserve">          6005 - TEMPORARY WAGES-HOURLY</v>
      </c>
      <c r="C36" s="11"/>
      <c r="D36" s="7">
        <v>1407.68</v>
      </c>
      <c r="E36" s="2"/>
      <c r="F36" s="8">
        <f t="shared" si="22"/>
        <v>3.3601971509171748E-2</v>
      </c>
      <c r="G36" s="2"/>
      <c r="H36" s="7"/>
      <c r="I36" s="2"/>
      <c r="J36" s="8">
        <f t="shared" si="23"/>
        <v>0</v>
      </c>
      <c r="K36" s="2"/>
      <c r="L36" s="7">
        <f t="shared" si="24"/>
        <v>1407.68</v>
      </c>
      <c r="M36" s="2"/>
      <c r="N36" s="8">
        <f t="shared" si="25"/>
        <v>0</v>
      </c>
      <c r="O36" s="11"/>
      <c r="P36" s="7">
        <v>1407.68</v>
      </c>
      <c r="Q36" s="2"/>
      <c r="R36" s="8">
        <f t="shared" si="26"/>
        <v>3.3601971509171748E-2</v>
      </c>
      <c r="S36" s="2"/>
      <c r="T36" s="7"/>
      <c r="U36" s="2"/>
      <c r="V36" s="8">
        <f t="shared" si="27"/>
        <v>0</v>
      </c>
      <c r="W36" s="2"/>
      <c r="X36" s="7">
        <f t="shared" si="28"/>
        <v>1407.68</v>
      </c>
      <c r="Y36" s="2"/>
      <c r="Z36" s="8">
        <f t="shared" si="29"/>
        <v>0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7">
        <v>11776.86</v>
      </c>
      <c r="E37" s="2"/>
      <c r="F37" s="8">
        <f t="shared" si="22"/>
        <v>0.28111908543667907</v>
      </c>
      <c r="G37" s="2"/>
      <c r="H37" s="7">
        <v>-790</v>
      </c>
      <c r="I37" s="2"/>
      <c r="J37" s="8">
        <f t="shared" si="23"/>
        <v>0</v>
      </c>
      <c r="K37" s="2"/>
      <c r="L37" s="7">
        <f t="shared" si="24"/>
        <v>12566.86</v>
      </c>
      <c r="M37" s="2"/>
      <c r="N37" s="8">
        <f t="shared" si="25"/>
        <v>-15.907417721518987</v>
      </c>
      <c r="O37" s="11"/>
      <c r="P37" s="7">
        <v>13856.86</v>
      </c>
      <c r="Q37" s="2"/>
      <c r="R37" s="8">
        <f t="shared" si="26"/>
        <v>0.33076964574802631</v>
      </c>
      <c r="S37" s="2"/>
      <c r="T37" s="7">
        <v>2623</v>
      </c>
      <c r="U37" s="2"/>
      <c r="V37" s="8">
        <f t="shared" si="27"/>
        <v>0</v>
      </c>
      <c r="W37" s="2"/>
      <c r="X37" s="7">
        <f t="shared" si="28"/>
        <v>11233.86</v>
      </c>
      <c r="Y37" s="2"/>
      <c r="Z37" s="8">
        <f t="shared" si="29"/>
        <v>4.2828288219595887</v>
      </c>
    </row>
    <row r="38" spans="1:26" s="28" customFormat="1" outlineLevel="1" collapsed="1" x14ac:dyDescent="0.3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722.41</v>
      </c>
      <c r="E38" s="1"/>
      <c r="F38" s="5">
        <f t="shared" ref="F38:F56" si="30">IF(D$12=0,0,D38/D$12)</f>
        <v>1.7244260228134776E-2</v>
      </c>
      <c r="G38" s="1"/>
      <c r="H38" s="1">
        <f>SUM(OSRRefH22_2x_0)</f>
        <v>0</v>
      </c>
      <c r="I38" s="1"/>
      <c r="J38" s="5">
        <f t="shared" ref="J38:J56" si="31">IF(H$12=0,0,H38/H$12)</f>
        <v>0</v>
      </c>
      <c r="K38" s="1"/>
      <c r="L38" s="1">
        <f t="shared" ref="L38:L56" si="32">+D38-H38</f>
        <v>722.41</v>
      </c>
      <c r="M38" s="1"/>
      <c r="N38" s="5">
        <f t="shared" ref="N38:N56" si="33">IF(H38=0,0,L38/H38)</f>
        <v>0</v>
      </c>
      <c r="O38" s="14"/>
      <c r="P38" s="1">
        <f>SUM(OSRRefP22_2x_0)</f>
        <v>762.73</v>
      </c>
      <c r="Q38" s="1"/>
      <c r="R38" s="5">
        <f t="shared" ref="R38:R56" si="34">IF(P$12=0,0,P38/P$12)</f>
        <v>1.8206717243400894E-2</v>
      </c>
      <c r="S38" s="1"/>
      <c r="T38" s="1">
        <f>SUM(OSRRefT22_2x_0)</f>
        <v>0</v>
      </c>
      <c r="U38" s="1"/>
      <c r="V38" s="5">
        <f t="shared" ref="V38:V56" si="35">IF(T$12=0,0,T38/T$12)</f>
        <v>0</v>
      </c>
      <c r="W38" s="1"/>
      <c r="X38" s="1">
        <f t="shared" ref="X38:X56" si="36">+P38-T38</f>
        <v>762.73</v>
      </c>
      <c r="Y38" s="1"/>
      <c r="Z38" s="5">
        <f t="shared" ref="Z38:Z56" si="37">IF(T38=0,0,X38/T38)</f>
        <v>0</v>
      </c>
    </row>
    <row r="39" spans="1:26" s="24" customFormat="1" hidden="1" outlineLevel="2" x14ac:dyDescent="0.3">
      <c r="A39" s="27"/>
      <c r="B39" s="11" t="str">
        <f>CONCATENATE("          ", "6362", " - ", "ADVERTISING EXPENSE")</f>
        <v xml:space="preserve">          6362 - ADVERTISING EXPENSE</v>
      </c>
      <c r="C39" s="11"/>
      <c r="D39" s="7">
        <v>722.41</v>
      </c>
      <c r="E39" s="2"/>
      <c r="F39" s="8">
        <f t="shared" si="30"/>
        <v>1.7244260228134776E-2</v>
      </c>
      <c r="G39" s="2"/>
      <c r="H39" s="7"/>
      <c r="I39" s="2"/>
      <c r="J39" s="8">
        <f t="shared" si="31"/>
        <v>0</v>
      </c>
      <c r="K39" s="2"/>
      <c r="L39" s="7">
        <f t="shared" si="32"/>
        <v>722.41</v>
      </c>
      <c r="M39" s="2"/>
      <c r="N39" s="8">
        <f t="shared" si="33"/>
        <v>0</v>
      </c>
      <c r="O39" s="11"/>
      <c r="P39" s="7">
        <v>762.73</v>
      </c>
      <c r="Q39" s="2"/>
      <c r="R39" s="8">
        <f t="shared" si="34"/>
        <v>1.8206717243400894E-2</v>
      </c>
      <c r="S39" s="2"/>
      <c r="T39" s="7"/>
      <c r="U39" s="2"/>
      <c r="V39" s="8">
        <f t="shared" si="35"/>
        <v>0</v>
      </c>
      <c r="W39" s="2"/>
      <c r="X39" s="7">
        <f t="shared" si="36"/>
        <v>762.73</v>
      </c>
      <c r="Y39" s="2"/>
      <c r="Z39" s="8">
        <f t="shared" si="37"/>
        <v>0</v>
      </c>
    </row>
    <row r="40" spans="1:26" s="28" customFormat="1" outlineLevel="1" collapsed="1" x14ac:dyDescent="0.3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40.56</v>
      </c>
      <c r="E40" s="1"/>
      <c r="F40" s="5">
        <f t="shared" si="30"/>
        <v>9.6818592607127055E-4</v>
      </c>
      <c r="G40" s="1"/>
      <c r="H40" s="1">
        <f>SUM(OSRRefH22_3x_0)</f>
        <v>0</v>
      </c>
      <c r="I40" s="1"/>
      <c r="J40" s="5">
        <f t="shared" si="31"/>
        <v>0</v>
      </c>
      <c r="K40" s="1"/>
      <c r="L40" s="1">
        <f t="shared" si="32"/>
        <v>40.56</v>
      </c>
      <c r="M40" s="1"/>
      <c r="N40" s="5">
        <f t="shared" si="33"/>
        <v>0</v>
      </c>
      <c r="O40" s="14"/>
      <c r="P40" s="1">
        <f>SUM(OSRRefP22_3x_0)</f>
        <v>40.56</v>
      </c>
      <c r="Q40" s="1"/>
      <c r="R40" s="5">
        <f t="shared" si="34"/>
        <v>9.6818592607127055E-4</v>
      </c>
      <c r="S40" s="1"/>
      <c r="T40" s="1">
        <f>SUM(OSRRefT22_3x_0)</f>
        <v>0</v>
      </c>
      <c r="U40" s="1"/>
      <c r="V40" s="5">
        <f t="shared" si="35"/>
        <v>0</v>
      </c>
      <c r="W40" s="1"/>
      <c r="X40" s="1">
        <f t="shared" si="36"/>
        <v>40.56</v>
      </c>
      <c r="Y40" s="1"/>
      <c r="Z40" s="5">
        <f t="shared" si="37"/>
        <v>0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7">
        <v>40.56</v>
      </c>
      <c r="E41" s="2"/>
      <c r="F41" s="8">
        <f t="shared" si="30"/>
        <v>9.6818592607127055E-4</v>
      </c>
      <c r="G41" s="2"/>
      <c r="H41" s="7"/>
      <c r="I41" s="2"/>
      <c r="J41" s="8">
        <f t="shared" si="31"/>
        <v>0</v>
      </c>
      <c r="K41" s="2"/>
      <c r="L41" s="7">
        <f t="shared" si="32"/>
        <v>40.56</v>
      </c>
      <c r="M41" s="2"/>
      <c r="N41" s="8">
        <f t="shared" si="33"/>
        <v>0</v>
      </c>
      <c r="O41" s="11"/>
      <c r="P41" s="7">
        <v>40.56</v>
      </c>
      <c r="Q41" s="2"/>
      <c r="R41" s="8">
        <f t="shared" si="34"/>
        <v>9.6818592607127055E-4</v>
      </c>
      <c r="S41" s="2"/>
      <c r="T41" s="7"/>
      <c r="U41" s="2"/>
      <c r="V41" s="8">
        <f t="shared" si="35"/>
        <v>0</v>
      </c>
      <c r="W41" s="2"/>
      <c r="X41" s="7">
        <f t="shared" si="36"/>
        <v>40.56</v>
      </c>
      <c r="Y41" s="2"/>
      <c r="Z41" s="8">
        <f t="shared" si="37"/>
        <v>0</v>
      </c>
    </row>
    <row r="42" spans="1:26" s="28" customFormat="1" outlineLevel="1" collapsed="1" x14ac:dyDescent="0.3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213.02</v>
      </c>
      <c r="E42" s="1"/>
      <c r="F42" s="5">
        <f t="shared" si="30"/>
        <v>5.084885748809222E-3</v>
      </c>
      <c r="G42" s="1"/>
      <c r="H42" s="1">
        <f>SUM(OSRRefH22_4x_0)</f>
        <v>213.02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SUM(OSRRefP22_4x_0)</f>
        <v>426.04</v>
      </c>
      <c r="Q42" s="1"/>
      <c r="R42" s="5">
        <f t="shared" si="34"/>
        <v>1.0169771497618444E-2</v>
      </c>
      <c r="S42" s="1"/>
      <c r="T42" s="1">
        <f>SUM(OSRRefT22_4x_0)</f>
        <v>426.04</v>
      </c>
      <c r="U42" s="1"/>
      <c r="V42" s="5">
        <f t="shared" si="35"/>
        <v>0</v>
      </c>
      <c r="W42" s="1"/>
      <c r="X42" s="1">
        <f t="shared" si="36"/>
        <v>0</v>
      </c>
      <c r="Y42" s="1"/>
      <c r="Z42" s="5">
        <f t="shared" si="37"/>
        <v>0</v>
      </c>
    </row>
    <row r="43" spans="1:26" s="24" customFormat="1" hidden="1" outlineLevel="2" x14ac:dyDescent="0.3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213.02</v>
      </c>
      <c r="E43" s="2"/>
      <c r="F43" s="8">
        <f t="shared" si="30"/>
        <v>5.084885748809222E-3</v>
      </c>
      <c r="G43" s="2"/>
      <c r="H43" s="7">
        <v>213.02</v>
      </c>
      <c r="I43" s="2"/>
      <c r="J43" s="8">
        <f t="shared" si="31"/>
        <v>0</v>
      </c>
      <c r="K43" s="2"/>
      <c r="L43" s="7">
        <f t="shared" si="32"/>
        <v>0</v>
      </c>
      <c r="M43" s="2"/>
      <c r="N43" s="8">
        <f t="shared" si="33"/>
        <v>0</v>
      </c>
      <c r="O43" s="11"/>
      <c r="P43" s="7">
        <v>426.04</v>
      </c>
      <c r="Q43" s="2"/>
      <c r="R43" s="8">
        <f t="shared" si="34"/>
        <v>1.0169771497618444E-2</v>
      </c>
      <c r="S43" s="2"/>
      <c r="T43" s="7">
        <v>426.04</v>
      </c>
      <c r="U43" s="2"/>
      <c r="V43" s="8">
        <f t="shared" si="35"/>
        <v>0</v>
      </c>
      <c r="W43" s="2"/>
      <c r="X43" s="7">
        <f t="shared" si="36"/>
        <v>0</v>
      </c>
      <c r="Y43" s="2"/>
      <c r="Z43" s="8">
        <f t="shared" si="37"/>
        <v>0</v>
      </c>
    </row>
    <row r="44" spans="1:26" s="28" customFormat="1" outlineLevel="1" collapsed="1" x14ac:dyDescent="0.3">
      <c r="A44" s="29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SUM(OSRRefD22_5x_0)</f>
        <v>662.3</v>
      </c>
      <c r="E44" s="1"/>
      <c r="F44" s="5">
        <f t="shared" si="30"/>
        <v>1.5809406776060218E-2</v>
      </c>
      <c r="G44" s="1"/>
      <c r="H44" s="1">
        <f>SUM(OSRRefH22_5x_0)</f>
        <v>0</v>
      </c>
      <c r="I44" s="1"/>
      <c r="J44" s="5">
        <f t="shared" si="31"/>
        <v>0</v>
      </c>
      <c r="K44" s="1"/>
      <c r="L44" s="1">
        <f t="shared" si="32"/>
        <v>662.3</v>
      </c>
      <c r="M44" s="1"/>
      <c r="N44" s="5">
        <f t="shared" si="33"/>
        <v>0</v>
      </c>
      <c r="O44" s="14"/>
      <c r="P44" s="1">
        <f>SUM(OSRRefP22_5x_0)</f>
        <v>662.3</v>
      </c>
      <c r="Q44" s="1"/>
      <c r="R44" s="5">
        <f t="shared" si="34"/>
        <v>1.5809406776060218E-2</v>
      </c>
      <c r="S44" s="1"/>
      <c r="T44" s="1">
        <f>SUM(OSRRefT22_5x_0)</f>
        <v>0</v>
      </c>
      <c r="U44" s="1"/>
      <c r="V44" s="5">
        <f t="shared" si="35"/>
        <v>0</v>
      </c>
      <c r="W44" s="1"/>
      <c r="X44" s="1">
        <f t="shared" si="36"/>
        <v>662.3</v>
      </c>
      <c r="Y44" s="1"/>
      <c r="Z44" s="5">
        <f t="shared" si="37"/>
        <v>0</v>
      </c>
    </row>
    <row r="45" spans="1:26" s="24" customFormat="1" hidden="1" outlineLevel="2" x14ac:dyDescent="0.3">
      <c r="A45" s="27"/>
      <c r="B45" s="11" t="str">
        <f>CONCATENATE("          ", "6399", " - ", "DONATION-ON CAMPUS")</f>
        <v xml:space="preserve">          6399 - DONATION-ON CAMPUS</v>
      </c>
      <c r="C45" s="11"/>
      <c r="D45" s="7">
        <v>662.3</v>
      </c>
      <c r="E45" s="2"/>
      <c r="F45" s="8">
        <f t="shared" si="30"/>
        <v>1.5809406776060218E-2</v>
      </c>
      <c r="G45" s="2"/>
      <c r="H45" s="7"/>
      <c r="I45" s="2"/>
      <c r="J45" s="8">
        <f t="shared" si="31"/>
        <v>0</v>
      </c>
      <c r="K45" s="2"/>
      <c r="L45" s="7">
        <f t="shared" si="32"/>
        <v>662.3</v>
      </c>
      <c r="M45" s="2"/>
      <c r="N45" s="8">
        <f t="shared" si="33"/>
        <v>0</v>
      </c>
      <c r="O45" s="11"/>
      <c r="P45" s="7">
        <v>662.3</v>
      </c>
      <c r="Q45" s="2"/>
      <c r="R45" s="8">
        <f t="shared" si="34"/>
        <v>1.5809406776060218E-2</v>
      </c>
      <c r="S45" s="2"/>
      <c r="T45" s="7"/>
      <c r="U45" s="2"/>
      <c r="V45" s="8">
        <f t="shared" si="35"/>
        <v>0</v>
      </c>
      <c r="W45" s="2"/>
      <c r="X45" s="7">
        <f t="shared" si="36"/>
        <v>662.3</v>
      </c>
      <c r="Y45" s="2"/>
      <c r="Z45" s="8">
        <f t="shared" si="37"/>
        <v>0</v>
      </c>
    </row>
    <row r="46" spans="1:26" s="28" customFormat="1" outlineLevel="1" collapsed="1" x14ac:dyDescent="0.3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20</v>
      </c>
      <c r="I46" s="1"/>
      <c r="J46" s="5">
        <f t="shared" si="31"/>
        <v>0</v>
      </c>
      <c r="K46" s="1"/>
      <c r="L46" s="1">
        <f t="shared" si="32"/>
        <v>-20</v>
      </c>
      <c r="M46" s="1"/>
      <c r="N46" s="5">
        <f t="shared" si="33"/>
        <v>-1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20</v>
      </c>
      <c r="U46" s="1"/>
      <c r="V46" s="5">
        <f t="shared" si="35"/>
        <v>0</v>
      </c>
      <c r="W46" s="1"/>
      <c r="X46" s="1">
        <f t="shared" si="36"/>
        <v>-20</v>
      </c>
      <c r="Y46" s="1"/>
      <c r="Z46" s="5">
        <f t="shared" si="37"/>
        <v>-1</v>
      </c>
    </row>
    <row r="47" spans="1:26" s="24" customFormat="1" hidden="1" outlineLevel="2" x14ac:dyDescent="0.3">
      <c r="A47" s="27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8">
        <f t="shared" si="30"/>
        <v>0</v>
      </c>
      <c r="G47" s="2"/>
      <c r="H47" s="7">
        <v>20</v>
      </c>
      <c r="I47" s="2"/>
      <c r="J47" s="8">
        <f t="shared" si="31"/>
        <v>0</v>
      </c>
      <c r="K47" s="2"/>
      <c r="L47" s="7">
        <f t="shared" si="32"/>
        <v>-20</v>
      </c>
      <c r="M47" s="2"/>
      <c r="N47" s="8">
        <f t="shared" si="33"/>
        <v>-1</v>
      </c>
      <c r="O47" s="11"/>
      <c r="P47" s="7"/>
      <c r="Q47" s="2"/>
      <c r="R47" s="8">
        <f t="shared" si="34"/>
        <v>0</v>
      </c>
      <c r="S47" s="2"/>
      <c r="T47" s="7">
        <v>20</v>
      </c>
      <c r="U47" s="2"/>
      <c r="V47" s="8">
        <f t="shared" si="35"/>
        <v>0</v>
      </c>
      <c r="W47" s="2"/>
      <c r="X47" s="7">
        <f t="shared" si="36"/>
        <v>-20</v>
      </c>
      <c r="Y47" s="2"/>
      <c r="Z47" s="8">
        <f t="shared" si="37"/>
        <v>-1</v>
      </c>
    </row>
    <row r="48" spans="1:26" s="28" customFormat="1" outlineLevel="1" collapsed="1" x14ac:dyDescent="0.3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1469.55</v>
      </c>
      <c r="E48" s="1"/>
      <c r="F48" s="5">
        <f t="shared" si="30"/>
        <v>3.5078836973817445E-2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1469.55</v>
      </c>
      <c r="M48" s="1"/>
      <c r="N48" s="5">
        <f t="shared" si="33"/>
        <v>0</v>
      </c>
      <c r="O48" s="14"/>
      <c r="P48" s="1">
        <f>SUM(OSRRefP22_7x_0)</f>
        <v>1469.55</v>
      </c>
      <c r="Q48" s="1"/>
      <c r="R48" s="5">
        <f t="shared" si="34"/>
        <v>3.5078836973817445E-2</v>
      </c>
      <c r="S48" s="1"/>
      <c r="T48" s="1">
        <f>SUM(OSRRefT22_7x_0)</f>
        <v>1439.55</v>
      </c>
      <c r="U48" s="1"/>
      <c r="V48" s="5">
        <f t="shared" si="35"/>
        <v>0</v>
      </c>
      <c r="W48" s="1"/>
      <c r="X48" s="1">
        <f t="shared" si="36"/>
        <v>30</v>
      </c>
      <c r="Y48" s="1"/>
      <c r="Z48" s="5">
        <f t="shared" si="37"/>
        <v>2.0839845785141191E-2</v>
      </c>
    </row>
    <row r="49" spans="1:26" s="24" customFormat="1" hidden="1" outlineLevel="2" x14ac:dyDescent="0.3">
      <c r="A49" s="27"/>
      <c r="B49" s="11" t="str">
        <f>CONCATENATE("          ", "6279", " - ", "GENERAL EXPENSE")</f>
        <v xml:space="preserve">          6279 - GENERAL EXPENSE</v>
      </c>
      <c r="C49" s="11"/>
      <c r="D49" s="7">
        <v>1469.55</v>
      </c>
      <c r="E49" s="2"/>
      <c r="F49" s="8">
        <f t="shared" si="30"/>
        <v>3.5078836973817445E-2</v>
      </c>
      <c r="G49" s="2"/>
      <c r="H49" s="7"/>
      <c r="I49" s="2"/>
      <c r="J49" s="8">
        <f t="shared" si="31"/>
        <v>0</v>
      </c>
      <c r="K49" s="2"/>
      <c r="L49" s="7">
        <f t="shared" si="32"/>
        <v>1469.55</v>
      </c>
      <c r="M49" s="2"/>
      <c r="N49" s="8">
        <f t="shared" si="33"/>
        <v>0</v>
      </c>
      <c r="O49" s="11"/>
      <c r="P49" s="7">
        <v>1469.55</v>
      </c>
      <c r="Q49" s="2"/>
      <c r="R49" s="8">
        <f t="shared" si="34"/>
        <v>3.5078836973817445E-2</v>
      </c>
      <c r="S49" s="2"/>
      <c r="T49" s="7">
        <v>1439.55</v>
      </c>
      <c r="U49" s="2"/>
      <c r="V49" s="8">
        <f t="shared" si="35"/>
        <v>0</v>
      </c>
      <c r="W49" s="2"/>
      <c r="X49" s="7">
        <f t="shared" si="36"/>
        <v>30</v>
      </c>
      <c r="Y49" s="2"/>
      <c r="Z49" s="8">
        <f t="shared" si="37"/>
        <v>2.0839845785141191E-2</v>
      </c>
    </row>
    <row r="50" spans="1:26" s="28" customFormat="1" outlineLevel="1" collapsed="1" x14ac:dyDescent="0.3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5.21</v>
      </c>
      <c r="E50" s="1"/>
      <c r="F50" s="5">
        <f t="shared" si="30"/>
        <v>1.243651053952495E-4</v>
      </c>
      <c r="G50" s="1"/>
      <c r="H50" s="1">
        <f>SUM(OSRRefH22_8x_0)</f>
        <v>5.9</v>
      </c>
      <c r="I50" s="1"/>
      <c r="J50" s="5">
        <f t="shared" si="31"/>
        <v>0</v>
      </c>
      <c r="K50" s="1"/>
      <c r="L50" s="1">
        <f t="shared" si="32"/>
        <v>-0.69000000000000039</v>
      </c>
      <c r="M50" s="1"/>
      <c r="N50" s="5">
        <f t="shared" si="33"/>
        <v>-0.11694915254237294</v>
      </c>
      <c r="O50" s="14"/>
      <c r="P50" s="1">
        <f>SUM(OSRRefP22_8x_0)</f>
        <v>10.43</v>
      </c>
      <c r="Q50" s="1"/>
      <c r="R50" s="5">
        <f t="shared" si="34"/>
        <v>2.4896891540738045E-4</v>
      </c>
      <c r="S50" s="1"/>
      <c r="T50" s="1">
        <f>SUM(OSRRefT22_8x_0)</f>
        <v>11.8</v>
      </c>
      <c r="U50" s="1"/>
      <c r="V50" s="5">
        <f t="shared" si="35"/>
        <v>0</v>
      </c>
      <c r="W50" s="1"/>
      <c r="X50" s="1">
        <f t="shared" si="36"/>
        <v>-1.370000000000001</v>
      </c>
      <c r="Y50" s="1"/>
      <c r="Z50" s="5">
        <f t="shared" si="37"/>
        <v>-0.11610169491525431</v>
      </c>
    </row>
    <row r="51" spans="1:26" s="24" customFormat="1" hidden="1" outlineLevel="2" x14ac:dyDescent="0.3">
      <c r="A51" s="27"/>
      <c r="B51" s="11" t="str">
        <f>CONCATENATE("          ", "6314", " - ", "LIABILITY INSURANCE")</f>
        <v xml:space="preserve">          6314 - LIABILITY INSURANCE</v>
      </c>
      <c r="C51" s="11"/>
      <c r="D51" s="7">
        <v>5.21</v>
      </c>
      <c r="E51" s="2"/>
      <c r="F51" s="8">
        <f t="shared" si="30"/>
        <v>1.243651053952495E-4</v>
      </c>
      <c r="G51" s="2"/>
      <c r="H51" s="7">
        <v>5.9</v>
      </c>
      <c r="I51" s="2"/>
      <c r="J51" s="8">
        <f t="shared" si="31"/>
        <v>0</v>
      </c>
      <c r="K51" s="2"/>
      <c r="L51" s="7">
        <f t="shared" si="32"/>
        <v>-0.69000000000000039</v>
      </c>
      <c r="M51" s="2"/>
      <c r="N51" s="8">
        <f t="shared" si="33"/>
        <v>-0.11694915254237294</v>
      </c>
      <c r="O51" s="11"/>
      <c r="P51" s="7">
        <v>10.43</v>
      </c>
      <c r="Q51" s="2"/>
      <c r="R51" s="8">
        <f t="shared" si="34"/>
        <v>2.4896891540738045E-4</v>
      </c>
      <c r="S51" s="2"/>
      <c r="T51" s="7">
        <v>11.8</v>
      </c>
      <c r="U51" s="2"/>
      <c r="V51" s="8">
        <f t="shared" si="35"/>
        <v>0</v>
      </c>
      <c r="W51" s="2"/>
      <c r="X51" s="7">
        <f t="shared" si="36"/>
        <v>-1.370000000000001</v>
      </c>
      <c r="Y51" s="2"/>
      <c r="Z51" s="8">
        <f t="shared" si="37"/>
        <v>-0.11610169491525431</v>
      </c>
    </row>
    <row r="52" spans="1:26" s="28" customFormat="1" outlineLevel="1" collapsed="1" x14ac:dyDescent="0.3">
      <c r="A52" s="29"/>
      <c r="B52" s="14" t="str">
        <f>CONCATENATE("     ","R/H Commissions                                   ")</f>
        <v xml:space="preserve">     R/H Commissions                                   </v>
      </c>
      <c r="C52" s="14"/>
      <c r="D52" s="1">
        <f>SUM(OSRRefD22_9x_0)</f>
        <v>3298.44</v>
      </c>
      <c r="E52" s="1"/>
      <c r="F52" s="5">
        <f t="shared" si="30"/>
        <v>7.8735285650653894E-2</v>
      </c>
      <c r="G52" s="1"/>
      <c r="H52" s="1">
        <f>SUM(OSRRefH22_9x_0)</f>
        <v>0</v>
      </c>
      <c r="I52" s="1"/>
      <c r="J52" s="5">
        <f t="shared" si="31"/>
        <v>0</v>
      </c>
      <c r="K52" s="1"/>
      <c r="L52" s="1">
        <f t="shared" si="32"/>
        <v>3298.44</v>
      </c>
      <c r="M52" s="1"/>
      <c r="N52" s="5">
        <f t="shared" si="33"/>
        <v>0</v>
      </c>
      <c r="O52" s="14"/>
      <c r="P52" s="1">
        <f>SUM(OSRRefP22_9x_0)</f>
        <v>3298.44</v>
      </c>
      <c r="Q52" s="1"/>
      <c r="R52" s="5">
        <f t="shared" si="34"/>
        <v>7.8735285650653894E-2</v>
      </c>
      <c r="S52" s="1"/>
      <c r="T52" s="1">
        <f>SUM(OSRRefT22_9x_0)</f>
        <v>0</v>
      </c>
      <c r="U52" s="1"/>
      <c r="V52" s="5">
        <f t="shared" si="35"/>
        <v>0</v>
      </c>
      <c r="W52" s="1"/>
      <c r="X52" s="1">
        <f t="shared" si="36"/>
        <v>3298.44</v>
      </c>
      <c r="Y52" s="1"/>
      <c r="Z52" s="5">
        <f t="shared" si="37"/>
        <v>0</v>
      </c>
    </row>
    <row r="53" spans="1:26" s="24" customFormat="1" hidden="1" outlineLevel="2" x14ac:dyDescent="0.3">
      <c r="A53" s="27"/>
      <c r="B53" s="11" t="str">
        <f>CONCATENATE("          ", "6387", " - ", "COMMISSION DUE HOUSING")</f>
        <v xml:space="preserve">          6387 - COMMISSION DUE HOUSING</v>
      </c>
      <c r="C53" s="11"/>
      <c r="D53" s="7">
        <v>3298.44</v>
      </c>
      <c r="E53" s="2"/>
      <c r="F53" s="8">
        <f t="shared" si="30"/>
        <v>7.8735285650653894E-2</v>
      </c>
      <c r="G53" s="2"/>
      <c r="H53" s="7"/>
      <c r="I53" s="2"/>
      <c r="J53" s="8">
        <f t="shared" si="31"/>
        <v>0</v>
      </c>
      <c r="K53" s="2"/>
      <c r="L53" s="7">
        <f t="shared" si="32"/>
        <v>3298.44</v>
      </c>
      <c r="M53" s="2"/>
      <c r="N53" s="8">
        <f t="shared" si="33"/>
        <v>0</v>
      </c>
      <c r="O53" s="11"/>
      <c r="P53" s="7">
        <v>3298.44</v>
      </c>
      <c r="Q53" s="2"/>
      <c r="R53" s="8">
        <f t="shared" si="34"/>
        <v>7.8735285650653894E-2</v>
      </c>
      <c r="S53" s="2"/>
      <c r="T53" s="7"/>
      <c r="U53" s="2"/>
      <c r="V53" s="8">
        <f t="shared" si="35"/>
        <v>0</v>
      </c>
      <c r="W53" s="2"/>
      <c r="X53" s="7">
        <f t="shared" si="36"/>
        <v>3298.44</v>
      </c>
      <c r="Y53" s="2"/>
      <c r="Z53" s="8">
        <f t="shared" si="37"/>
        <v>0</v>
      </c>
    </row>
    <row r="54" spans="1:26" s="28" customFormat="1" outlineLevel="1" collapsed="1" x14ac:dyDescent="0.3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SUM(OSRRefD22_10x_0)</f>
        <v>2142.9</v>
      </c>
      <c r="E54" s="1"/>
      <c r="F54" s="5">
        <f t="shared" si="30"/>
        <v>5.1152012351531696E-2</v>
      </c>
      <c r="G54" s="1"/>
      <c r="H54" s="1">
        <f>SUM(OSRRefH22_10x_0)</f>
        <v>71.77</v>
      </c>
      <c r="I54" s="1"/>
      <c r="J54" s="5">
        <f t="shared" si="31"/>
        <v>0</v>
      </c>
      <c r="K54" s="1"/>
      <c r="L54" s="1">
        <f t="shared" si="32"/>
        <v>2071.13</v>
      </c>
      <c r="M54" s="1"/>
      <c r="N54" s="5">
        <f t="shared" si="33"/>
        <v>28.857879336770242</v>
      </c>
      <c r="O54" s="14"/>
      <c r="P54" s="1">
        <f>SUM(OSRRefP22_10x_0)</f>
        <v>4562.54</v>
      </c>
      <c r="Q54" s="1"/>
      <c r="R54" s="5">
        <f t="shared" si="34"/>
        <v>0.10890993627064138</v>
      </c>
      <c r="S54" s="1"/>
      <c r="T54" s="1">
        <f>SUM(OSRRefT22_10x_0)</f>
        <v>741.41</v>
      </c>
      <c r="U54" s="1"/>
      <c r="V54" s="5">
        <f t="shared" si="35"/>
        <v>0</v>
      </c>
      <c r="W54" s="1"/>
      <c r="X54" s="1">
        <f t="shared" si="36"/>
        <v>3821.13</v>
      </c>
      <c r="Y54" s="1"/>
      <c r="Z54" s="5">
        <f t="shared" si="37"/>
        <v>5.1538689793771333</v>
      </c>
    </row>
    <row r="55" spans="1:26" s="24" customFormat="1" hidden="1" outlineLevel="2" x14ac:dyDescent="0.3">
      <c r="A55" s="27"/>
      <c r="B55" s="11" t="str">
        <f>CONCATENATE("          ", "6282", " - ", "JANITORIAL/EXTERMINATOR EXPENS")</f>
        <v xml:space="preserve">          6282 - JANITORIAL/EXTERMINATOR EXPENS</v>
      </c>
      <c r="C55" s="11"/>
      <c r="D55" s="7"/>
      <c r="E55" s="2"/>
      <c r="F55" s="8">
        <f t="shared" si="30"/>
        <v>0</v>
      </c>
      <c r="G55" s="2"/>
      <c r="H55" s="7">
        <v>71.77</v>
      </c>
      <c r="I55" s="2"/>
      <c r="J55" s="8">
        <f t="shared" si="31"/>
        <v>0</v>
      </c>
      <c r="K55" s="2"/>
      <c r="L55" s="7">
        <f t="shared" si="32"/>
        <v>-71.77</v>
      </c>
      <c r="M55" s="2"/>
      <c r="N55" s="8">
        <f t="shared" si="33"/>
        <v>-1</v>
      </c>
      <c r="O55" s="11"/>
      <c r="P55" s="7">
        <v>669.64</v>
      </c>
      <c r="Q55" s="2"/>
      <c r="R55" s="8">
        <f t="shared" si="34"/>
        <v>1.5984615964851224E-2</v>
      </c>
      <c r="S55" s="2"/>
      <c r="T55" s="7">
        <v>741.41</v>
      </c>
      <c r="U55" s="2"/>
      <c r="V55" s="8">
        <f t="shared" si="35"/>
        <v>0</v>
      </c>
      <c r="W55" s="2"/>
      <c r="X55" s="7">
        <f t="shared" si="36"/>
        <v>-71.769999999999982</v>
      </c>
      <c r="Y55" s="2"/>
      <c r="Z55" s="8">
        <f t="shared" si="37"/>
        <v>-9.6802039357440528E-2</v>
      </c>
    </row>
    <row r="56" spans="1:26" s="24" customFormat="1" hidden="1" outlineLevel="2" x14ac:dyDescent="0.3">
      <c r="A56" s="27"/>
      <c r="B56" s="11" t="str">
        <f>CONCATENATE("          ", "6285", " - ", "JANITORIAL SERVICES")</f>
        <v xml:space="preserve">          6285 - JANITORIAL SERVICES</v>
      </c>
      <c r="C56" s="11"/>
      <c r="D56" s="7">
        <v>2142.9</v>
      </c>
      <c r="E56" s="2"/>
      <c r="F56" s="8">
        <f t="shared" si="30"/>
        <v>5.1152012351531696E-2</v>
      </c>
      <c r="G56" s="2"/>
      <c r="H56" s="7"/>
      <c r="I56" s="2"/>
      <c r="J56" s="8">
        <f t="shared" si="31"/>
        <v>0</v>
      </c>
      <c r="K56" s="2"/>
      <c r="L56" s="7">
        <f t="shared" si="32"/>
        <v>2142.9</v>
      </c>
      <c r="M56" s="2"/>
      <c r="N56" s="8">
        <f t="shared" si="33"/>
        <v>0</v>
      </c>
      <c r="O56" s="11"/>
      <c r="P56" s="7">
        <v>3892.9</v>
      </c>
      <c r="Q56" s="2"/>
      <c r="R56" s="8">
        <f t="shared" si="34"/>
        <v>9.2925320305790163E-2</v>
      </c>
      <c r="S56" s="2"/>
      <c r="T56" s="7"/>
      <c r="U56" s="2"/>
      <c r="V56" s="8">
        <f t="shared" si="35"/>
        <v>0</v>
      </c>
      <c r="W56" s="2"/>
      <c r="X56" s="7">
        <f t="shared" si="36"/>
        <v>3892.9</v>
      </c>
      <c r="Y56" s="2"/>
      <c r="Z56" s="8">
        <f t="shared" si="37"/>
        <v>0</v>
      </c>
    </row>
    <row r="57" spans="1:26" s="28" customFormat="1" outlineLevel="1" collapsed="1" x14ac:dyDescent="0.3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9644.1500000000015</v>
      </c>
      <c r="E57" s="1"/>
      <c r="F57" s="5">
        <f t="shared" ref="F57:F61" si="38">IF(D$12=0,0,D57/D$12)</f>
        <v>0.23021031308974962</v>
      </c>
      <c r="G57" s="1"/>
      <c r="H57" s="1">
        <f>SUM(OSRRefH22_11x_0)</f>
        <v>57.16</v>
      </c>
      <c r="I57" s="1"/>
      <c r="J57" s="5">
        <f t="shared" ref="J57:J61" si="39">IF(H$12=0,0,H57/H$12)</f>
        <v>0</v>
      </c>
      <c r="K57" s="1"/>
      <c r="L57" s="1">
        <f t="shared" ref="L57:L61" si="40">+D57-H57</f>
        <v>9586.9900000000016</v>
      </c>
      <c r="M57" s="1"/>
      <c r="N57" s="5">
        <f t="shared" ref="N57:N61" si="41">IF(H57=0,0,L57/H57)</f>
        <v>167.72200839748081</v>
      </c>
      <c r="O57" s="14"/>
      <c r="P57" s="1">
        <f>SUM(OSRRefP22_11x_0)</f>
        <v>9648.6500000000015</v>
      </c>
      <c r="Q57" s="1"/>
      <c r="R57" s="5">
        <f t="shared" ref="R57:R61" si="42">IF(P$12=0,0,P57/P$12)</f>
        <v>0.2303177301673463</v>
      </c>
      <c r="S57" s="1"/>
      <c r="T57" s="1">
        <f>SUM(OSRRefT22_11x_0)</f>
        <v>57.16</v>
      </c>
      <c r="U57" s="1"/>
      <c r="V57" s="5">
        <f t="shared" ref="V57:V61" si="43">IF(T$12=0,0,T57/T$12)</f>
        <v>0</v>
      </c>
      <c r="W57" s="1"/>
      <c r="X57" s="1">
        <f t="shared" ref="X57:X61" si="44">+P57-T57</f>
        <v>9591.4900000000016</v>
      </c>
      <c r="Y57" s="1"/>
      <c r="Z57" s="5">
        <f t="shared" ref="Z57:Z61" si="45">IF(T57=0,0,X57/T57)</f>
        <v>167.80073477956617</v>
      </c>
    </row>
    <row r="58" spans="1:26" s="24" customFormat="1" hidden="1" outlineLevel="2" x14ac:dyDescent="0.3">
      <c r="A58" s="27"/>
      <c r="B58" s="11" t="str">
        <f>CONCATENATE("          ", "6237", " - ", "JANITORIAL SUPPLIES")</f>
        <v xml:space="preserve">          6237 - JANITORIAL SUPPLIES</v>
      </c>
      <c r="C58" s="11"/>
      <c r="D58" s="7">
        <v>1526.8</v>
      </c>
      <c r="E58" s="2"/>
      <c r="F58" s="8">
        <f t="shared" si="38"/>
        <v>3.6445420905463898E-2</v>
      </c>
      <c r="G58" s="2"/>
      <c r="H58" s="7"/>
      <c r="I58" s="2"/>
      <c r="J58" s="8">
        <f t="shared" si="39"/>
        <v>0</v>
      </c>
      <c r="K58" s="2"/>
      <c r="L58" s="7">
        <f t="shared" si="40"/>
        <v>1526.8</v>
      </c>
      <c r="M58" s="2"/>
      <c r="N58" s="8">
        <f t="shared" si="41"/>
        <v>0</v>
      </c>
      <c r="O58" s="11"/>
      <c r="P58" s="7">
        <v>1526.8</v>
      </c>
      <c r="Q58" s="2"/>
      <c r="R58" s="8">
        <f t="shared" si="42"/>
        <v>3.6445420905463898E-2</v>
      </c>
      <c r="S58" s="2"/>
      <c r="T58" s="7"/>
      <c r="U58" s="2"/>
      <c r="V58" s="8">
        <f t="shared" si="43"/>
        <v>0</v>
      </c>
      <c r="W58" s="2"/>
      <c r="X58" s="7">
        <f t="shared" si="44"/>
        <v>1526.8</v>
      </c>
      <c r="Y58" s="2"/>
      <c r="Z58" s="8">
        <f t="shared" si="45"/>
        <v>0</v>
      </c>
    </row>
    <row r="59" spans="1:26" s="24" customFormat="1" hidden="1" outlineLevel="2" x14ac:dyDescent="0.3">
      <c r="A59" s="27"/>
      <c r="B59" s="11" t="str">
        <f>CONCATENATE("          ", "6239", " - ", "KITCHEN SUPPLIES")</f>
        <v xml:space="preserve">          6239 - KITCHEN SUPPLIES</v>
      </c>
      <c r="C59" s="11"/>
      <c r="D59" s="7">
        <v>1433.83</v>
      </c>
      <c r="E59" s="2"/>
      <c r="F59" s="8">
        <f t="shared" si="38"/>
        <v>3.4226184082316806E-2</v>
      </c>
      <c r="G59" s="2"/>
      <c r="H59" s="7"/>
      <c r="I59" s="2"/>
      <c r="J59" s="8">
        <f t="shared" si="39"/>
        <v>0</v>
      </c>
      <c r="K59" s="2"/>
      <c r="L59" s="7">
        <f t="shared" si="40"/>
        <v>1433.83</v>
      </c>
      <c r="M59" s="2"/>
      <c r="N59" s="8">
        <f t="shared" si="41"/>
        <v>0</v>
      </c>
      <c r="O59" s="11"/>
      <c r="P59" s="7">
        <v>1433.83</v>
      </c>
      <c r="Q59" s="2"/>
      <c r="R59" s="8">
        <f t="shared" si="42"/>
        <v>3.4226184082316806E-2</v>
      </c>
      <c r="S59" s="2"/>
      <c r="T59" s="7"/>
      <c r="U59" s="2"/>
      <c r="V59" s="8">
        <f t="shared" si="43"/>
        <v>0</v>
      </c>
      <c r="W59" s="2"/>
      <c r="X59" s="7">
        <f t="shared" si="44"/>
        <v>1433.83</v>
      </c>
      <c r="Y59" s="2"/>
      <c r="Z59" s="8">
        <f t="shared" si="45"/>
        <v>0</v>
      </c>
    </row>
    <row r="60" spans="1:26" s="24" customFormat="1" hidden="1" outlineLevel="2" x14ac:dyDescent="0.3">
      <c r="A60" s="27"/>
      <c r="B60" s="11" t="str">
        <f>CONCATENATE("          ", "6241", " - ", "OFFICE EXPENSE")</f>
        <v xml:space="preserve">          6241 - OFFICE EXPENSE</v>
      </c>
      <c r="C60" s="11"/>
      <c r="D60" s="7">
        <v>1739.75</v>
      </c>
      <c r="E60" s="2"/>
      <c r="F60" s="8">
        <f t="shared" si="38"/>
        <v>4.1528635721954955E-2</v>
      </c>
      <c r="G60" s="2"/>
      <c r="H60" s="7">
        <v>57.16</v>
      </c>
      <c r="I60" s="2"/>
      <c r="J60" s="8">
        <f t="shared" si="39"/>
        <v>0</v>
      </c>
      <c r="K60" s="2"/>
      <c r="L60" s="7">
        <f t="shared" si="40"/>
        <v>1682.59</v>
      </c>
      <c r="M60" s="2"/>
      <c r="N60" s="8">
        <f t="shared" si="41"/>
        <v>29.436494051784464</v>
      </c>
      <c r="O60" s="11"/>
      <c r="P60" s="7">
        <v>1744.25</v>
      </c>
      <c r="Q60" s="2"/>
      <c r="R60" s="8">
        <f t="shared" si="42"/>
        <v>4.1636052799551619E-2</v>
      </c>
      <c r="S60" s="2"/>
      <c r="T60" s="7">
        <v>57.16</v>
      </c>
      <c r="U60" s="2"/>
      <c r="V60" s="8">
        <f t="shared" si="43"/>
        <v>0</v>
      </c>
      <c r="W60" s="2"/>
      <c r="X60" s="7">
        <f t="shared" si="44"/>
        <v>1687.09</v>
      </c>
      <c r="Y60" s="2"/>
      <c r="Z60" s="8">
        <f t="shared" si="45"/>
        <v>29.515220433869839</v>
      </c>
    </row>
    <row r="61" spans="1:26" s="24" customFormat="1" hidden="1" outlineLevel="2" x14ac:dyDescent="0.3">
      <c r="A61" s="27"/>
      <c r="B61" s="11" t="str">
        <f>CONCATENATE("          ", "6243", " - ", "PAPER SUPPLIES")</f>
        <v xml:space="preserve">          6243 - PAPER SUPPLIES</v>
      </c>
      <c r="C61" s="11"/>
      <c r="D61" s="7">
        <v>4943.7700000000004</v>
      </c>
      <c r="E61" s="2"/>
      <c r="F61" s="8">
        <f t="shared" si="38"/>
        <v>0.11801007238001394</v>
      </c>
      <c r="G61" s="2"/>
      <c r="H61" s="7"/>
      <c r="I61" s="2"/>
      <c r="J61" s="8">
        <f t="shared" si="39"/>
        <v>0</v>
      </c>
      <c r="K61" s="2"/>
      <c r="L61" s="7">
        <f t="shared" si="40"/>
        <v>4943.7700000000004</v>
      </c>
      <c r="M61" s="2"/>
      <c r="N61" s="8">
        <f t="shared" si="41"/>
        <v>0</v>
      </c>
      <c r="O61" s="11"/>
      <c r="P61" s="7">
        <v>4943.7700000000004</v>
      </c>
      <c r="Q61" s="2"/>
      <c r="R61" s="8">
        <f t="shared" si="42"/>
        <v>0.11801007238001394</v>
      </c>
      <c r="S61" s="2"/>
      <c r="T61" s="7"/>
      <c r="U61" s="2"/>
      <c r="V61" s="8">
        <f t="shared" si="43"/>
        <v>0</v>
      </c>
      <c r="W61" s="2"/>
      <c r="X61" s="7">
        <f t="shared" si="44"/>
        <v>4943.7700000000004</v>
      </c>
      <c r="Y61" s="2"/>
      <c r="Z61" s="8">
        <f t="shared" si="45"/>
        <v>0</v>
      </c>
    </row>
    <row r="62" spans="1:26" s="28" customFormat="1" outlineLevel="1" collapsed="1" x14ac:dyDescent="0.3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SUM(OSRRefD22_12x_0)</f>
        <v>75</v>
      </c>
      <c r="E62" s="1"/>
      <c r="F62" s="5">
        <f t="shared" ref="F62:F63" si="46">IF(D$12=0,0,D62/D$12)</f>
        <v>1.7902846266110771E-3</v>
      </c>
      <c r="G62" s="1"/>
      <c r="H62" s="1">
        <f>SUM(OSRRefH22_12x_0)</f>
        <v>109</v>
      </c>
      <c r="I62" s="1"/>
      <c r="J62" s="5">
        <f t="shared" ref="J62:J63" si="47">IF(H$12=0,0,H62/H$12)</f>
        <v>0</v>
      </c>
      <c r="K62" s="1"/>
      <c r="L62" s="1">
        <f t="shared" ref="L62:L63" si="48">+D62-H62</f>
        <v>-34</v>
      </c>
      <c r="M62" s="1"/>
      <c r="N62" s="5">
        <f t="shared" ref="N62:N63" si="49">IF(H62=0,0,L62/H62)</f>
        <v>-0.31192660550458717</v>
      </c>
      <c r="O62" s="14"/>
      <c r="P62" s="1">
        <f>SUM(OSRRefP22_12x_0)</f>
        <v>135</v>
      </c>
      <c r="Q62" s="1"/>
      <c r="R62" s="5">
        <f t="shared" ref="R62:R63" si="50">IF(P$12=0,0,P62/P$12)</f>
        <v>3.2225123278999388E-3</v>
      </c>
      <c r="S62" s="1"/>
      <c r="T62" s="1">
        <f>SUM(OSRRefT22_12x_0)</f>
        <v>218</v>
      </c>
      <c r="U62" s="1"/>
      <c r="V62" s="5">
        <f t="shared" ref="V62:V63" si="51">IF(T$12=0,0,T62/T$12)</f>
        <v>0</v>
      </c>
      <c r="W62" s="1"/>
      <c r="X62" s="1">
        <f t="shared" ref="X62:X63" si="52">+P62-T62</f>
        <v>-83</v>
      </c>
      <c r="Y62" s="1"/>
      <c r="Z62" s="5">
        <f t="shared" ref="Z62:Z63" si="53">IF(T62=0,0,X62/T62)</f>
        <v>-0.38073394495412843</v>
      </c>
    </row>
    <row r="63" spans="1:26" s="24" customFormat="1" hidden="1" outlineLevel="2" x14ac:dyDescent="0.3">
      <c r="A63" s="27"/>
      <c r="B63" s="11" t="str">
        <f>CONCATENATE("          ", "6309", " - ", "TELEPHONE")</f>
        <v xml:space="preserve">          6309 - TELEPHONE</v>
      </c>
      <c r="C63" s="11"/>
      <c r="D63" s="7">
        <v>75</v>
      </c>
      <c r="E63" s="2"/>
      <c r="F63" s="8">
        <f t="shared" si="46"/>
        <v>1.7902846266110771E-3</v>
      </c>
      <c r="G63" s="2"/>
      <c r="H63" s="7">
        <v>109</v>
      </c>
      <c r="I63" s="2"/>
      <c r="J63" s="8">
        <f t="shared" si="47"/>
        <v>0</v>
      </c>
      <c r="K63" s="2"/>
      <c r="L63" s="7">
        <f t="shared" si="48"/>
        <v>-34</v>
      </c>
      <c r="M63" s="2"/>
      <c r="N63" s="8">
        <f t="shared" si="49"/>
        <v>-0.31192660550458717</v>
      </c>
      <c r="O63" s="11"/>
      <c r="P63" s="7">
        <v>135</v>
      </c>
      <c r="Q63" s="2"/>
      <c r="R63" s="8">
        <f t="shared" si="50"/>
        <v>3.2225123278999388E-3</v>
      </c>
      <c r="S63" s="2"/>
      <c r="T63" s="7">
        <v>218</v>
      </c>
      <c r="U63" s="2"/>
      <c r="V63" s="8">
        <f t="shared" si="51"/>
        <v>0</v>
      </c>
      <c r="W63" s="2"/>
      <c r="X63" s="7">
        <f t="shared" si="52"/>
        <v>-83</v>
      </c>
      <c r="Y63" s="2"/>
      <c r="Z63" s="8">
        <f t="shared" si="53"/>
        <v>-0.38073394495412843</v>
      </c>
    </row>
    <row r="64" spans="1:26" s="61" customFormat="1" x14ac:dyDescent="0.3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6" t="s">
        <v>292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6"/>
      <c r="G66" s="3"/>
      <c r="H66" s="3"/>
      <c r="I66" s="3"/>
      <c r="J66" s="6"/>
      <c r="K66" s="3"/>
      <c r="L66" s="3"/>
      <c r="M66" s="3"/>
      <c r="N66" s="6"/>
      <c r="O66" s="10"/>
      <c r="P66" s="3"/>
      <c r="Q66" s="3"/>
      <c r="R66" s="6"/>
      <c r="S66" s="3"/>
      <c r="T66" s="3"/>
      <c r="U66" s="3"/>
      <c r="V66" s="6"/>
      <c r="W66" s="3"/>
      <c r="X66" s="3"/>
      <c r="Y66" s="3"/>
      <c r="Z66" s="6"/>
    </row>
    <row r="67" spans="1:26" s="23" customFormat="1" x14ac:dyDescent="0.3">
      <c r="A67" s="10"/>
      <c r="B67" s="25" t="s">
        <v>276</v>
      </c>
      <c r="C67" s="25"/>
      <c r="D67" s="20">
        <f>+D20-D22+D65</f>
        <v>-64516.12000000001</v>
      </c>
      <c r="E67" s="13"/>
      <c r="F67" s="22">
        <f>IF(D$12=0,0,D67/D$12)</f>
        <v>-1.5400295707279397</v>
      </c>
      <c r="G67" s="13"/>
      <c r="H67" s="20">
        <f>+H20-H22+H65</f>
        <v>-38261.779999999992</v>
      </c>
      <c r="I67" s="13"/>
      <c r="J67" s="22">
        <f>IF(H$12=0,0,H67/H$12)</f>
        <v>0</v>
      </c>
      <c r="K67" s="15"/>
      <c r="L67" s="20">
        <f>+D67-H67</f>
        <v>-26254.340000000018</v>
      </c>
      <c r="M67" s="15"/>
      <c r="N67" s="22">
        <f>IF(H67=0,0,L67/H67)</f>
        <v>0.68617664938745726</v>
      </c>
      <c r="O67" s="26"/>
      <c r="P67" s="20">
        <f>+P20-P22+P65</f>
        <v>-105280.84999999998</v>
      </c>
      <c r="Q67" s="13"/>
      <c r="R67" s="22">
        <f>IF(P$12=0,0,P67/P$12)</f>
        <v>-2.5131024964206237</v>
      </c>
      <c r="S67" s="13"/>
      <c r="T67" s="20">
        <f>+T20-T22+T65</f>
        <v>-78621.920000000013</v>
      </c>
      <c r="U67" s="13"/>
      <c r="V67" s="22">
        <f>IF(T$12=0,0,T67/T$12)</f>
        <v>0</v>
      </c>
      <c r="W67" s="15"/>
      <c r="X67" s="20">
        <f>+P67-T67</f>
        <v>-26658.929999999964</v>
      </c>
      <c r="Y67" s="15"/>
      <c r="Z67" s="22">
        <f>IF(T67=0,0,X67/T67)</f>
        <v>0.33907757531232968</v>
      </c>
    </row>
    <row r="68" spans="1:26" x14ac:dyDescent="0.3">
      <c r="A68" s="9"/>
      <c r="B68" s="10"/>
      <c r="C68" s="9"/>
      <c r="D68" s="3"/>
      <c r="E68" s="3"/>
      <c r="F68" s="6"/>
      <c r="G68" s="3"/>
      <c r="H68" s="3"/>
      <c r="I68" s="3"/>
      <c r="J68" s="6"/>
      <c r="K68" s="3"/>
      <c r="L68" s="3"/>
      <c r="M68" s="3"/>
      <c r="N68" s="6"/>
      <c r="P68" s="3"/>
      <c r="Q68" s="3"/>
      <c r="R68" s="6"/>
      <c r="S68" s="3"/>
      <c r="T68" s="3"/>
      <c r="U68" s="3"/>
      <c r="V68" s="6"/>
      <c r="W68" s="3"/>
      <c r="X68" s="3"/>
      <c r="Y68" s="3"/>
      <c r="Z68" s="6"/>
    </row>
    <row r="69" spans="1:26" s="23" customFormat="1" x14ac:dyDescent="0.3">
      <c r="A69" s="51"/>
      <c r="B69" s="10" t="s">
        <v>127</v>
      </c>
      <c r="C69" s="10"/>
      <c r="D69" s="4">
        <v>6260.17</v>
      </c>
      <c r="E69" s="4"/>
      <c r="F69" s="12">
        <f>IF(D$12=0,0,D69/D$12)</f>
        <v>0.14943314814629155</v>
      </c>
      <c r="G69" s="4"/>
      <c r="H69" s="4"/>
      <c r="I69" s="4"/>
      <c r="J69" s="12">
        <f>IF(H$12=0,0,H69/H$12)</f>
        <v>0</v>
      </c>
      <c r="K69" s="4"/>
      <c r="L69" s="4">
        <f>+D69-H69</f>
        <v>6260.17</v>
      </c>
      <c r="M69" s="4"/>
      <c r="N69" s="12">
        <f>IF(H69=0,0,L69/H69)</f>
        <v>0</v>
      </c>
      <c r="O69" s="10"/>
      <c r="P69" s="4">
        <v>6260.17</v>
      </c>
      <c r="Q69" s="4"/>
      <c r="R69" s="12">
        <f>IF(P$12=0,0,P69/P$12)</f>
        <v>0.14943314814629155</v>
      </c>
      <c r="S69" s="4"/>
      <c r="T69" s="4"/>
      <c r="U69" s="4"/>
      <c r="V69" s="12">
        <f>IF(T$12=0,0,T69/T$12)</f>
        <v>0</v>
      </c>
      <c r="W69" s="4"/>
      <c r="X69" s="4">
        <f>+P69-T69</f>
        <v>6260.17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6"/>
      <c r="G70" s="3"/>
      <c r="H70" s="3"/>
      <c r="I70" s="3"/>
      <c r="J70" s="6"/>
      <c r="K70" s="3"/>
      <c r="L70" s="3"/>
      <c r="M70" s="3"/>
      <c r="N70" s="6"/>
      <c r="O70" s="10"/>
      <c r="P70" s="3"/>
      <c r="Q70" s="3"/>
      <c r="R70" s="6"/>
      <c r="S70" s="3"/>
      <c r="T70" s="3"/>
      <c r="U70" s="3"/>
      <c r="V70" s="6"/>
      <c r="W70" s="3"/>
      <c r="X70" s="3"/>
      <c r="Y70" s="3"/>
      <c r="Z70" s="6"/>
    </row>
    <row r="71" spans="1:26" s="23" customFormat="1" ht="15" thickBot="1" x14ac:dyDescent="0.35">
      <c r="A71" s="10"/>
      <c r="B71" s="25" t="s">
        <v>125</v>
      </c>
      <c r="C71" s="25"/>
      <c r="D71" s="33">
        <f>+D67-D69</f>
        <v>-70776.290000000008</v>
      </c>
      <c r="E71" s="13"/>
      <c r="F71" s="36">
        <f>IF(D$12=0,0,D71/D$12)</f>
        <v>-1.6894627188742311</v>
      </c>
      <c r="G71" s="13"/>
      <c r="H71" s="33">
        <f>+H67-H69</f>
        <v>-38261.779999999992</v>
      </c>
      <c r="I71" s="13"/>
      <c r="J71" s="36">
        <f>IF(H$12=0,0,H71/H$12)</f>
        <v>0</v>
      </c>
      <c r="K71" s="15"/>
      <c r="L71" s="33">
        <f>D71-H71</f>
        <v>-32514.510000000017</v>
      </c>
      <c r="M71" s="15"/>
      <c r="N71" s="36">
        <f>IF(H71=0,0,L71/H71)</f>
        <v>0.84979083565897939</v>
      </c>
      <c r="O71" s="26"/>
      <c r="P71" s="33">
        <f>+P67-P69</f>
        <v>-111541.01999999997</v>
      </c>
      <c r="Q71" s="13"/>
      <c r="R71" s="36">
        <f>IF(P$12=0,0,P71/P$12)</f>
        <v>-2.6625356445669155</v>
      </c>
      <c r="S71" s="13"/>
      <c r="T71" s="33">
        <f>+T67-T69</f>
        <v>-78621.920000000013</v>
      </c>
      <c r="U71" s="13"/>
      <c r="V71" s="36">
        <f>IF(T$12=0,0,T71/T$12)</f>
        <v>0</v>
      </c>
      <c r="W71" s="15"/>
      <c r="X71" s="33">
        <f>P71-T71</f>
        <v>-32919.099999999962</v>
      </c>
      <c r="Y71" s="15"/>
      <c r="Z71" s="36">
        <f>IF(T71=0,0,X71/T71)</f>
        <v>0.41870129856915167</v>
      </c>
    </row>
    <row r="72" spans="1:26" ht="15" thickTop="1" x14ac:dyDescent="0.3">
      <c r="A72" s="9"/>
      <c r="B72" s="9"/>
      <c r="C72" s="9"/>
      <c r="D72" s="3"/>
      <c r="E72" s="3"/>
      <c r="F72" s="6"/>
      <c r="G72" s="3"/>
      <c r="H72" s="3"/>
      <c r="I72" s="3"/>
      <c r="J72" s="6"/>
      <c r="K72" s="3"/>
      <c r="L72" s="3"/>
      <c r="M72" s="3"/>
      <c r="N72" s="6"/>
      <c r="P72" s="3"/>
      <c r="Q72" s="3"/>
      <c r="R72" s="6"/>
      <c r="S72" s="3"/>
      <c r="T72" s="3"/>
      <c r="U72" s="3"/>
      <c r="V72" s="6"/>
      <c r="W72" s="3"/>
      <c r="X72" s="3"/>
      <c r="Y72" s="3"/>
      <c r="Z72" s="6"/>
    </row>
    <row r="73" spans="1:26" x14ac:dyDescent="0.3">
      <c r="A73" s="9"/>
      <c r="B73" s="9"/>
      <c r="C73" s="9"/>
      <c r="D73" s="3"/>
      <c r="E73" s="3"/>
      <c r="F73" s="6"/>
      <c r="G73" s="3"/>
      <c r="H73" s="3"/>
      <c r="I73" s="3"/>
      <c r="J73" s="6"/>
      <c r="K73" s="3"/>
      <c r="L73" s="3"/>
      <c r="M73" s="3"/>
      <c r="N73" s="6"/>
      <c r="P73" s="3"/>
      <c r="Q73" s="3"/>
      <c r="R73" s="6"/>
      <c r="S73" s="3"/>
      <c r="T73" s="3"/>
      <c r="U73" s="3"/>
      <c r="V73" s="6"/>
      <c r="W73" s="3"/>
      <c r="X73" s="3"/>
      <c r="Y73" s="3"/>
      <c r="Z73" s="6"/>
    </row>
    <row r="74" spans="1:26" s="23" customFormat="1" ht="15" thickBot="1" x14ac:dyDescent="0.35">
      <c r="A74" s="10"/>
      <c r="B74" s="25" t="s">
        <v>293</v>
      </c>
      <c r="C74" s="25"/>
      <c r="D74" s="30">
        <f>SUM(D71:D73)</f>
        <v>-70776.290000000008</v>
      </c>
      <c r="E74" s="13"/>
      <c r="F74" s="31">
        <f>IF(D$12=0,0,D74/D$12)</f>
        <v>-1.6894627188742311</v>
      </c>
      <c r="G74" s="13"/>
      <c r="H74" s="30">
        <f>SUM(H71:H73)</f>
        <v>-38261.779999999992</v>
      </c>
      <c r="I74" s="13"/>
      <c r="J74" s="31">
        <f>IF(H$12=0,0,H74/H$12)</f>
        <v>0</v>
      </c>
      <c r="K74" s="15"/>
      <c r="L74" s="30">
        <f>+D74-H74</f>
        <v>-32514.510000000017</v>
      </c>
      <c r="M74" s="15"/>
      <c r="N74" s="31">
        <f>IF(H74=0,0,L74/H74)</f>
        <v>0.84979083565897939</v>
      </c>
      <c r="O74" s="26"/>
      <c r="P74" s="30">
        <f>SUM(P71:P73)</f>
        <v>-111541.01999999997</v>
      </c>
      <c r="Q74" s="13"/>
      <c r="R74" s="31">
        <f>IF(P$12=0,0,P74/P$12)</f>
        <v>-2.6625356445669155</v>
      </c>
      <c r="S74" s="13"/>
      <c r="T74" s="30">
        <f>SUM(T71:T73)</f>
        <v>-78621.920000000013</v>
      </c>
      <c r="U74" s="13"/>
      <c r="V74" s="31">
        <f>IF(T$12=0,0,T74/T$12)</f>
        <v>0</v>
      </c>
      <c r="W74" s="15"/>
      <c r="X74" s="30">
        <f>+P74-T74</f>
        <v>-32919.099999999962</v>
      </c>
      <c r="Y74" s="15"/>
      <c r="Z74" s="31">
        <f>IF(T74=0,0,X74/T74)</f>
        <v>0.41870129856915167</v>
      </c>
    </row>
    <row r="75" spans="1:26" ht="15" thickTop="1" x14ac:dyDescent="0.3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3">
      <c r="A76" s="9"/>
      <c r="B76" s="59">
        <v>44470.840542939812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3">
      <c r="A77" s="9"/>
      <c r="B77" s="58" t="s">
        <v>56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3">
      <c r="A78" s="9"/>
      <c r="B78" s="52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3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">
        <v>104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90197</v>
      </c>
      <c r="E12" s="4"/>
      <c r="F12" s="12"/>
      <c r="G12" s="4"/>
      <c r="H12" s="4">
        <f>SUM(OSRRefH13x_0)</f>
        <v>66861</v>
      </c>
      <c r="I12" s="4"/>
      <c r="J12" s="12"/>
      <c r="K12" s="4"/>
      <c r="L12" s="4">
        <f t="shared" ref="L12:L13" si="0">+D12-H12</f>
        <v>23336</v>
      </c>
      <c r="M12" s="4"/>
      <c r="N12" s="12">
        <f t="shared" ref="N12:N13" si="1">IF(H12=0,0,L12/H12)</f>
        <v>0.34902259912355482</v>
      </c>
      <c r="O12" s="10"/>
      <c r="P12" s="4">
        <f>SUM(OSRRefP13x_0)</f>
        <v>235852</v>
      </c>
      <c r="Q12" s="4"/>
      <c r="R12" s="12"/>
      <c r="S12" s="4"/>
      <c r="T12" s="4">
        <f>SUM(OSRRefT13x_0)</f>
        <v>87832</v>
      </c>
      <c r="U12" s="4"/>
      <c r="V12" s="12"/>
      <c r="W12" s="4"/>
      <c r="X12" s="4">
        <f t="shared" ref="X12:X13" si="2">+P12-T12</f>
        <v>148020</v>
      </c>
      <c r="Y12" s="4"/>
      <c r="Z12" s="12">
        <f t="shared" ref="Z12:Z13" si="3">IF(T12=0,0,X12/T12)</f>
        <v>1.6852627743874671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--90197</f>
        <v>90197</v>
      </c>
      <c r="E13" s="2"/>
      <c r="F13" s="19"/>
      <c r="G13" s="2"/>
      <c r="H13" s="2">
        <f>--66861</f>
        <v>66861</v>
      </c>
      <c r="I13" s="2"/>
      <c r="J13" s="19"/>
      <c r="K13" s="2"/>
      <c r="L13" s="2">
        <f t="shared" si="0"/>
        <v>23336</v>
      </c>
      <c r="M13" s="2"/>
      <c r="N13" s="19">
        <f t="shared" si="1"/>
        <v>0.34902259912355482</v>
      </c>
      <c r="O13" s="11"/>
      <c r="P13" s="2">
        <f>--235852</f>
        <v>235852</v>
      </c>
      <c r="Q13" s="2"/>
      <c r="R13" s="19"/>
      <c r="S13" s="2"/>
      <c r="T13" s="2">
        <f>--87832</f>
        <v>87832</v>
      </c>
      <c r="U13" s="2"/>
      <c r="V13" s="19"/>
      <c r="W13" s="2"/>
      <c r="X13" s="2">
        <f t="shared" si="2"/>
        <v>148020</v>
      </c>
      <c r="Y13" s="2"/>
      <c r="Z13" s="19">
        <f t="shared" si="3"/>
        <v>1.6852627743874671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D12-D15</f>
        <v>90197</v>
      </c>
      <c r="E17" s="13"/>
      <c r="F17" s="22">
        <f>IF(D$12=0,0,D17/D$12)</f>
        <v>1</v>
      </c>
      <c r="G17" s="13"/>
      <c r="H17" s="20">
        <f>H12-H15</f>
        <v>66861</v>
      </c>
      <c r="I17" s="13"/>
      <c r="J17" s="22">
        <f>IF(H$12=0,0,H17/H$12)</f>
        <v>1</v>
      </c>
      <c r="K17" s="15"/>
      <c r="L17" s="20">
        <f>+D17-H17</f>
        <v>23336</v>
      </c>
      <c r="M17" s="15"/>
      <c r="N17" s="22">
        <f>IF(H17=0,0,L17/H17)</f>
        <v>0.34902259912355482</v>
      </c>
      <c r="O17" s="26"/>
      <c r="P17" s="20">
        <f>P12-P15</f>
        <v>235852</v>
      </c>
      <c r="Q17" s="13"/>
      <c r="R17" s="22">
        <f>IF(P$12=0,0,P17/P$12)</f>
        <v>1</v>
      </c>
      <c r="S17" s="13"/>
      <c r="T17" s="20">
        <f>T12-T15</f>
        <v>87832</v>
      </c>
      <c r="U17" s="13"/>
      <c r="V17" s="22">
        <f>IF(T$12=0,0,T17/T$12)</f>
        <v>1</v>
      </c>
      <c r="W17" s="15"/>
      <c r="X17" s="20">
        <f>+P17-T17</f>
        <v>148020</v>
      </c>
      <c r="Y17" s="15"/>
      <c r="Z17" s="22">
        <f>IF(T17=0,0,X17/T17)</f>
        <v>1.6852627743874671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24361.880000000005</v>
      </c>
      <c r="E19" s="21"/>
      <c r="F19" s="32">
        <f t="shared" ref="F19:F28" si="4">IF(D$12=0,0,D19/D$12)</f>
        <v>0.27009634466778282</v>
      </c>
      <c r="G19" s="21"/>
      <c r="H19" s="21">
        <f>SUM(OSRRefH22x_0)</f>
        <v>57099.96</v>
      </c>
      <c r="I19" s="21"/>
      <c r="J19" s="32">
        <f t="shared" ref="J19:J28" si="5">IF(H$12=0,0,H19/H$12)</f>
        <v>0.85400996096379056</v>
      </c>
      <c r="K19" s="4"/>
      <c r="L19" s="21">
        <f t="shared" ref="L19:L28" si="6">+D19-H19</f>
        <v>-32738.079999999994</v>
      </c>
      <c r="M19" s="4"/>
      <c r="N19" s="32">
        <f t="shared" ref="N19:N28" si="7">IF(H19=0,0,L19/H19)</f>
        <v>-0.57334681145135646</v>
      </c>
      <c r="O19" s="10"/>
      <c r="P19" s="21">
        <f>SUM(OSRRefP22x_0)</f>
        <v>170124.90000000002</v>
      </c>
      <c r="Q19" s="21"/>
      <c r="R19" s="32">
        <f t="shared" ref="R19:R28" si="8">IF(P$12=0,0,P19/P$12)</f>
        <v>0.72132057391923754</v>
      </c>
      <c r="S19" s="21"/>
      <c r="T19" s="21">
        <f>SUM(OSRRefT22x_0)</f>
        <v>78235.819999999992</v>
      </c>
      <c r="U19" s="21"/>
      <c r="V19" s="32">
        <f t="shared" ref="V19:V28" si="9">IF(T$12=0,0,T19/T$12)</f>
        <v>0.89074392021131243</v>
      </c>
      <c r="W19" s="4"/>
      <c r="X19" s="21">
        <f t="shared" ref="X19:X28" si="10">+P19-T19</f>
        <v>91889.080000000031</v>
      </c>
      <c r="Y19" s="4"/>
      <c r="Z19" s="32">
        <f t="shared" ref="Z19:Z28" si="11">IF(T19=0,0,X19/T19)</f>
        <v>1.1745141803332546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3864.37</v>
      </c>
      <c r="E20" s="1"/>
      <c r="F20" s="5">
        <f t="shared" si="4"/>
        <v>4.2843664423428719E-2</v>
      </c>
      <c r="G20" s="1"/>
      <c r="H20" s="1">
        <f>SUM(OSRRefH22_0x_0)</f>
        <v>4075.21</v>
      </c>
      <c r="I20" s="1"/>
      <c r="J20" s="5">
        <f t="shared" si="5"/>
        <v>6.0950479352686916E-2</v>
      </c>
      <c r="K20" s="1"/>
      <c r="L20" s="1">
        <f t="shared" si="6"/>
        <v>-210.84000000000015</v>
      </c>
      <c r="M20" s="1"/>
      <c r="N20" s="5">
        <f t="shared" si="7"/>
        <v>-5.1737211088508359E-2</v>
      </c>
      <c r="O20" s="14"/>
      <c r="P20" s="1">
        <f>SUM(OSRRefP22_0x_0)</f>
        <v>7666.1999999999989</v>
      </c>
      <c r="Q20" s="1"/>
      <c r="R20" s="5">
        <f t="shared" si="8"/>
        <v>3.2504282346556307E-2</v>
      </c>
      <c r="S20" s="1"/>
      <c r="T20" s="1">
        <f>SUM(OSRRefT22_0x_0)</f>
        <v>8283.0300000000007</v>
      </c>
      <c r="U20" s="1"/>
      <c r="V20" s="5">
        <f t="shared" si="9"/>
        <v>9.4305378449767746E-2</v>
      </c>
      <c r="W20" s="1"/>
      <c r="X20" s="1">
        <f t="shared" si="10"/>
        <v>-616.83000000000175</v>
      </c>
      <c r="Y20" s="1"/>
      <c r="Z20" s="5">
        <f t="shared" si="11"/>
        <v>-7.4469125428738236E-2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1214.71</v>
      </c>
      <c r="E21" s="2"/>
      <c r="F21" s="8">
        <f t="shared" si="4"/>
        <v>1.3467299355854409E-2</v>
      </c>
      <c r="G21" s="2"/>
      <c r="H21" s="7">
        <v>1161.71</v>
      </c>
      <c r="I21" s="2"/>
      <c r="J21" s="8">
        <f t="shared" si="5"/>
        <v>1.7375001869550263E-2</v>
      </c>
      <c r="K21" s="2"/>
      <c r="L21" s="7">
        <f t="shared" si="6"/>
        <v>53</v>
      </c>
      <c r="M21" s="2"/>
      <c r="N21" s="8">
        <f t="shared" si="7"/>
        <v>4.5622401459916848E-2</v>
      </c>
      <c r="O21" s="11"/>
      <c r="P21" s="7">
        <v>2403.0700000000002</v>
      </c>
      <c r="Q21" s="2"/>
      <c r="R21" s="8">
        <f t="shared" si="8"/>
        <v>1.018888964265726E-2</v>
      </c>
      <c r="S21" s="2"/>
      <c r="T21" s="7">
        <v>2168.29</v>
      </c>
      <c r="U21" s="2"/>
      <c r="V21" s="8">
        <f t="shared" si="9"/>
        <v>2.4686788414245379E-2</v>
      </c>
      <c r="W21" s="2"/>
      <c r="X21" s="7">
        <f t="shared" si="10"/>
        <v>234.7800000000002</v>
      </c>
      <c r="Y21" s="2"/>
      <c r="Z21" s="8">
        <f t="shared" si="11"/>
        <v>0.10827887413583985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180.15</v>
      </c>
      <c r="E22" s="2"/>
      <c r="F22" s="8">
        <f t="shared" si="4"/>
        <v>1.9972948102486778E-3</v>
      </c>
      <c r="G22" s="2"/>
      <c r="H22" s="7">
        <v>84.22</v>
      </c>
      <c r="I22" s="2"/>
      <c r="J22" s="8">
        <f t="shared" si="5"/>
        <v>1.2596281838440945E-3</v>
      </c>
      <c r="K22" s="2"/>
      <c r="L22" s="7">
        <f t="shared" si="6"/>
        <v>95.93</v>
      </c>
      <c r="M22" s="2"/>
      <c r="N22" s="8">
        <f t="shared" si="7"/>
        <v>1.1390406079316078</v>
      </c>
      <c r="O22" s="11"/>
      <c r="P22" s="7">
        <v>338.14</v>
      </c>
      <c r="Q22" s="2"/>
      <c r="R22" s="8">
        <f t="shared" si="8"/>
        <v>1.4336957074775707E-3</v>
      </c>
      <c r="S22" s="2"/>
      <c r="T22" s="7">
        <v>162.09</v>
      </c>
      <c r="U22" s="2"/>
      <c r="V22" s="8">
        <f t="shared" si="9"/>
        <v>1.8454549594680754E-3</v>
      </c>
      <c r="W22" s="2"/>
      <c r="X22" s="7">
        <f t="shared" si="10"/>
        <v>176.04999999999998</v>
      </c>
      <c r="Y22" s="2"/>
      <c r="Z22" s="8">
        <f t="shared" si="11"/>
        <v>1.0861249922882348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8">
        <f t="shared" si="4"/>
        <v>1.1689413173387141E-2</v>
      </c>
      <c r="G23" s="2"/>
      <c r="H23" s="7">
        <v>1230.45</v>
      </c>
      <c r="I23" s="2"/>
      <c r="J23" s="8">
        <f t="shared" si="5"/>
        <v>1.8403104949073452E-2</v>
      </c>
      <c r="K23" s="2"/>
      <c r="L23" s="7">
        <f t="shared" si="6"/>
        <v>-176.10000000000014</v>
      </c>
      <c r="M23" s="2"/>
      <c r="N23" s="8">
        <f t="shared" si="7"/>
        <v>-0.14311837132756319</v>
      </c>
      <c r="O23" s="11"/>
      <c r="P23" s="7">
        <v>2108.6999999999998</v>
      </c>
      <c r="Q23" s="2"/>
      <c r="R23" s="8">
        <f t="shared" si="8"/>
        <v>8.9407764191102891E-3</v>
      </c>
      <c r="S23" s="2"/>
      <c r="T23" s="7">
        <v>2460.9</v>
      </c>
      <c r="U23" s="2"/>
      <c r="V23" s="8">
        <f t="shared" si="9"/>
        <v>2.8018262136806631E-2</v>
      </c>
      <c r="W23" s="2"/>
      <c r="X23" s="7">
        <f t="shared" si="10"/>
        <v>-352.20000000000027</v>
      </c>
      <c r="Y23" s="2"/>
      <c r="Z23" s="8">
        <f t="shared" si="11"/>
        <v>-0.14311837132756319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35.299999999999997</v>
      </c>
      <c r="E24" s="2"/>
      <c r="F24" s="8">
        <f t="shared" si="4"/>
        <v>3.9136556648225549E-4</v>
      </c>
      <c r="G24" s="2"/>
      <c r="H24" s="7">
        <v>39.200000000000003</v>
      </c>
      <c r="I24" s="2"/>
      <c r="J24" s="8">
        <f t="shared" si="5"/>
        <v>5.8629096184621829E-4</v>
      </c>
      <c r="K24" s="2"/>
      <c r="L24" s="7">
        <f t="shared" si="6"/>
        <v>-3.9000000000000057</v>
      </c>
      <c r="M24" s="2"/>
      <c r="N24" s="8">
        <f t="shared" si="7"/>
        <v>-9.9489795918367485E-2</v>
      </c>
      <c r="O24" s="11"/>
      <c r="P24" s="7">
        <v>66.64</v>
      </c>
      <c r="Q24" s="2"/>
      <c r="R24" s="8">
        <f t="shared" si="8"/>
        <v>2.8255007377507926E-4</v>
      </c>
      <c r="S24" s="2"/>
      <c r="T24" s="7">
        <v>73.400000000000006</v>
      </c>
      <c r="U24" s="2"/>
      <c r="V24" s="8">
        <f t="shared" si="9"/>
        <v>8.3568631022861838E-4</v>
      </c>
      <c r="W24" s="2"/>
      <c r="X24" s="7">
        <f t="shared" si="10"/>
        <v>-6.7600000000000051</v>
      </c>
      <c r="Y24" s="2"/>
      <c r="Z24" s="8">
        <f t="shared" si="11"/>
        <v>-9.209809264305184E-2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8">
        <f t="shared" si="4"/>
        <v>6.503320509551316E-3</v>
      </c>
      <c r="G25" s="2"/>
      <c r="H25" s="7">
        <v>640.35</v>
      </c>
      <c r="I25" s="2"/>
      <c r="J25" s="8">
        <f t="shared" si="5"/>
        <v>9.5773320769955584E-3</v>
      </c>
      <c r="K25" s="2"/>
      <c r="L25" s="7">
        <f t="shared" si="6"/>
        <v>-53.769999999999982</v>
      </c>
      <c r="M25" s="2"/>
      <c r="N25" s="8">
        <f t="shared" si="7"/>
        <v>-8.3969704068087736E-2</v>
      </c>
      <c r="O25" s="11"/>
      <c r="P25" s="7">
        <v>1173.1600000000001</v>
      </c>
      <c r="Q25" s="2"/>
      <c r="R25" s="8">
        <f t="shared" si="8"/>
        <v>4.9741363227786923E-3</v>
      </c>
      <c r="S25" s="2"/>
      <c r="T25" s="7">
        <v>1579.79</v>
      </c>
      <c r="U25" s="2"/>
      <c r="V25" s="8">
        <f t="shared" si="9"/>
        <v>1.7986496948720284E-2</v>
      </c>
      <c r="W25" s="2"/>
      <c r="X25" s="7">
        <f t="shared" si="10"/>
        <v>-406.62999999999988</v>
      </c>
      <c r="Y25" s="2"/>
      <c r="Z25" s="8">
        <f t="shared" si="11"/>
        <v>-0.25739497021756047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112.61</v>
      </c>
      <c r="E26" s="2"/>
      <c r="F26" s="8">
        <f t="shared" si="4"/>
        <v>1.2484894176081245E-3</v>
      </c>
      <c r="G26" s="2"/>
      <c r="H26" s="7">
        <v>100</v>
      </c>
      <c r="I26" s="2"/>
      <c r="J26" s="8">
        <f t="shared" si="5"/>
        <v>1.4956402087913732E-3</v>
      </c>
      <c r="K26" s="2"/>
      <c r="L26" s="7">
        <f t="shared" si="6"/>
        <v>12.61</v>
      </c>
      <c r="M26" s="2"/>
      <c r="N26" s="8">
        <f t="shared" si="7"/>
        <v>0.12609999999999999</v>
      </c>
      <c r="O26" s="11"/>
      <c r="P26" s="7">
        <v>215.15</v>
      </c>
      <c r="Q26" s="2"/>
      <c r="R26" s="8">
        <f t="shared" si="8"/>
        <v>9.122246154367994E-4</v>
      </c>
      <c r="S26" s="2"/>
      <c r="T26" s="7">
        <v>200</v>
      </c>
      <c r="U26" s="2"/>
      <c r="V26" s="8">
        <f t="shared" si="9"/>
        <v>2.2770744147918754E-3</v>
      </c>
      <c r="W26" s="2"/>
      <c r="X26" s="7">
        <f t="shared" si="10"/>
        <v>15.150000000000006</v>
      </c>
      <c r="Y26" s="2"/>
      <c r="Z26" s="8">
        <f t="shared" si="11"/>
        <v>7.5750000000000026E-2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413.76</v>
      </c>
      <c r="E27" s="2"/>
      <c r="F27" s="8">
        <f t="shared" si="4"/>
        <v>4.5872922602747321E-3</v>
      </c>
      <c r="G27" s="2"/>
      <c r="H27" s="7">
        <v>520.02</v>
      </c>
      <c r="I27" s="2"/>
      <c r="J27" s="8">
        <f t="shared" si="5"/>
        <v>7.7776282137568984E-3</v>
      </c>
      <c r="K27" s="2"/>
      <c r="L27" s="7">
        <f t="shared" si="6"/>
        <v>-106.25999999999999</v>
      </c>
      <c r="M27" s="2"/>
      <c r="N27" s="8">
        <f t="shared" si="7"/>
        <v>-0.20433829468097381</v>
      </c>
      <c r="O27" s="11"/>
      <c r="P27" s="7">
        <v>827.52</v>
      </c>
      <c r="Q27" s="2"/>
      <c r="R27" s="8">
        <f t="shared" si="8"/>
        <v>3.5086410121601681E-3</v>
      </c>
      <c r="S27" s="2"/>
      <c r="T27" s="7">
        <v>1040.04</v>
      </c>
      <c r="U27" s="2"/>
      <c r="V27" s="8">
        <f t="shared" si="9"/>
        <v>1.184124237180071E-2</v>
      </c>
      <c r="W27" s="2"/>
      <c r="X27" s="7">
        <f t="shared" si="10"/>
        <v>-212.51999999999998</v>
      </c>
      <c r="Y27" s="2"/>
      <c r="Z27" s="8">
        <f t="shared" si="11"/>
        <v>-0.20433829468097381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266.91000000000003</v>
      </c>
      <c r="E28" s="2"/>
      <c r="F28" s="8">
        <f t="shared" si="4"/>
        <v>2.9591893300220632E-3</v>
      </c>
      <c r="G28" s="2"/>
      <c r="H28" s="7">
        <v>299.26</v>
      </c>
      <c r="I28" s="2"/>
      <c r="J28" s="8">
        <f t="shared" si="5"/>
        <v>4.4758528888290631E-3</v>
      </c>
      <c r="K28" s="2"/>
      <c r="L28" s="7">
        <f t="shared" si="6"/>
        <v>-32.349999999999966</v>
      </c>
      <c r="M28" s="2"/>
      <c r="N28" s="8">
        <f t="shared" si="7"/>
        <v>-0.10809997995054457</v>
      </c>
      <c r="O28" s="11"/>
      <c r="P28" s="7">
        <v>533.82000000000005</v>
      </c>
      <c r="Q28" s="2"/>
      <c r="R28" s="8">
        <f t="shared" si="8"/>
        <v>2.2633685531604567E-3</v>
      </c>
      <c r="S28" s="2"/>
      <c r="T28" s="7">
        <v>598.52</v>
      </c>
      <c r="U28" s="2"/>
      <c r="V28" s="8">
        <f t="shared" si="9"/>
        <v>6.8143728937061663E-3</v>
      </c>
      <c r="W28" s="2"/>
      <c r="X28" s="7">
        <f t="shared" si="10"/>
        <v>-64.699999999999932</v>
      </c>
      <c r="Y28" s="2"/>
      <c r="Z28" s="8">
        <f t="shared" si="11"/>
        <v>-0.10809997995054457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17485.11</v>
      </c>
      <c r="E29" s="1"/>
      <c r="F29" s="5">
        <f t="shared" ref="F29:F34" si="12">IF(D$12=0,0,D29/D$12)</f>
        <v>0.19385467365876916</v>
      </c>
      <c r="G29" s="1"/>
      <c r="H29" s="1">
        <f>SUM(OSRRefH22_1x_0)</f>
        <v>16843.640000000003</v>
      </c>
      <c r="I29" s="1"/>
      <c r="J29" s="5">
        <f t="shared" ref="J29:J34" si="13">IF(H$12=0,0,H29/H$12)</f>
        <v>0.2519202524640673</v>
      </c>
      <c r="K29" s="1"/>
      <c r="L29" s="1">
        <f t="shared" ref="L29:L34" si="14">+D29-H29</f>
        <v>641.46999999999753</v>
      </c>
      <c r="M29" s="1"/>
      <c r="N29" s="5">
        <f t="shared" ref="N29:N34" si="15">IF(H29=0,0,L29/H29)</f>
        <v>3.8083810862734976E-2</v>
      </c>
      <c r="O29" s="14"/>
      <c r="P29" s="1">
        <f>SUM(OSRRefP22_1x_0)</f>
        <v>36455.67</v>
      </c>
      <c r="Q29" s="1"/>
      <c r="R29" s="5">
        <f t="shared" ref="R29:R34" si="16">IF(P$12=0,0,P29/P$12)</f>
        <v>0.15457011176500515</v>
      </c>
      <c r="S29" s="1"/>
      <c r="T29" s="1">
        <f>SUM(OSRRefT22_1x_0)</f>
        <v>32448.820000000003</v>
      </c>
      <c r="U29" s="1"/>
      <c r="V29" s="5">
        <f t="shared" ref="V29:V34" si="17">IF(T$12=0,0,T29/T$12)</f>
        <v>0.36944188906093456</v>
      </c>
      <c r="W29" s="1"/>
      <c r="X29" s="1">
        <f t="shared" ref="X29:X34" si="18">+P29-T29</f>
        <v>4006.8499999999949</v>
      </c>
      <c r="Y29" s="1"/>
      <c r="Z29" s="5">
        <f t="shared" ref="Z29:Z34" si="19">IF(T29=0,0,X29/T29)</f>
        <v>0.12348214819521926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4479.1000000000004</v>
      </c>
      <c r="E30" s="2"/>
      <c r="F30" s="8">
        <f t="shared" si="12"/>
        <v>4.9659079570273962E-2</v>
      </c>
      <c r="G30" s="2"/>
      <c r="H30" s="7">
        <v>4205.72</v>
      </c>
      <c r="I30" s="2"/>
      <c r="J30" s="8">
        <f t="shared" si="13"/>
        <v>6.2902439389180539E-2</v>
      </c>
      <c r="K30" s="2"/>
      <c r="L30" s="7">
        <f t="shared" si="14"/>
        <v>273.38000000000011</v>
      </c>
      <c r="M30" s="2"/>
      <c r="N30" s="8">
        <f t="shared" si="15"/>
        <v>6.500194972561181E-2</v>
      </c>
      <c r="O30" s="11"/>
      <c r="P30" s="7">
        <v>10078.200000000001</v>
      </c>
      <c r="Q30" s="2"/>
      <c r="R30" s="8">
        <f t="shared" si="16"/>
        <v>4.2731034716686739E-2</v>
      </c>
      <c r="S30" s="2"/>
      <c r="T30" s="7">
        <v>9463.44</v>
      </c>
      <c r="U30" s="2"/>
      <c r="V30" s="8">
        <f t="shared" si="17"/>
        <v>0.10774478549959013</v>
      </c>
      <c r="W30" s="2"/>
      <c r="X30" s="7">
        <f t="shared" si="18"/>
        <v>614.76000000000022</v>
      </c>
      <c r="Y30" s="2"/>
      <c r="Z30" s="8">
        <f t="shared" si="19"/>
        <v>6.4961578453501076E-2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1634.68</v>
      </c>
      <c r="E31" s="2"/>
      <c r="F31" s="8">
        <f t="shared" si="12"/>
        <v>1.8123440912668938E-2</v>
      </c>
      <c r="G31" s="2"/>
      <c r="H31" s="7">
        <v>2625.07</v>
      </c>
      <c r="I31" s="2"/>
      <c r="J31" s="8">
        <f t="shared" si="13"/>
        <v>3.9261602428919705E-2</v>
      </c>
      <c r="K31" s="2"/>
      <c r="L31" s="7">
        <f t="shared" si="14"/>
        <v>-990.3900000000001</v>
      </c>
      <c r="M31" s="2"/>
      <c r="N31" s="8">
        <f t="shared" si="15"/>
        <v>-0.37728136773495563</v>
      </c>
      <c r="O31" s="11"/>
      <c r="P31" s="7">
        <v>6748.3</v>
      </c>
      <c r="Q31" s="2"/>
      <c r="R31" s="8">
        <f t="shared" si="16"/>
        <v>2.861243491681224E-2</v>
      </c>
      <c r="S31" s="2"/>
      <c r="T31" s="7">
        <v>4679.1400000000003</v>
      </c>
      <c r="U31" s="2"/>
      <c r="V31" s="8">
        <f t="shared" si="17"/>
        <v>5.3273749886146284E-2</v>
      </c>
      <c r="W31" s="2"/>
      <c r="X31" s="7">
        <f t="shared" si="18"/>
        <v>2069.16</v>
      </c>
      <c r="Y31" s="2"/>
      <c r="Z31" s="8">
        <f t="shared" si="19"/>
        <v>0.44220946584201365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7">
        <v>2322.4</v>
      </c>
      <c r="E32" s="2"/>
      <c r="F32" s="8">
        <f t="shared" si="12"/>
        <v>2.574808474782975E-2</v>
      </c>
      <c r="G32" s="2"/>
      <c r="H32" s="7"/>
      <c r="I32" s="2"/>
      <c r="J32" s="8">
        <f t="shared" si="13"/>
        <v>0</v>
      </c>
      <c r="K32" s="2"/>
      <c r="L32" s="7">
        <f t="shared" si="14"/>
        <v>2322.4</v>
      </c>
      <c r="M32" s="2"/>
      <c r="N32" s="8">
        <f t="shared" si="15"/>
        <v>0</v>
      </c>
      <c r="O32" s="11"/>
      <c r="P32" s="7">
        <v>2322.4</v>
      </c>
      <c r="Q32" s="2"/>
      <c r="R32" s="8">
        <f t="shared" si="16"/>
        <v>9.8468531112731721E-3</v>
      </c>
      <c r="S32" s="2"/>
      <c r="T32" s="7"/>
      <c r="U32" s="2"/>
      <c r="V32" s="8">
        <f t="shared" si="17"/>
        <v>0</v>
      </c>
      <c r="W32" s="2"/>
      <c r="X32" s="7">
        <f t="shared" si="18"/>
        <v>2322.4</v>
      </c>
      <c r="Y32" s="2"/>
      <c r="Z32" s="8">
        <f t="shared" si="19"/>
        <v>0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7230.43</v>
      </c>
      <c r="E33" s="2"/>
      <c r="F33" s="8">
        <f t="shared" si="12"/>
        <v>8.016264399037662E-2</v>
      </c>
      <c r="G33" s="2"/>
      <c r="H33" s="7">
        <v>7904.97</v>
      </c>
      <c r="I33" s="2"/>
      <c r="J33" s="8">
        <f t="shared" si="13"/>
        <v>0.11822990981289541</v>
      </c>
      <c r="K33" s="2"/>
      <c r="L33" s="7">
        <f t="shared" si="14"/>
        <v>-674.54</v>
      </c>
      <c r="M33" s="2"/>
      <c r="N33" s="8">
        <f t="shared" si="15"/>
        <v>-8.5331127126352144E-2</v>
      </c>
      <c r="O33" s="11"/>
      <c r="P33" s="7">
        <v>13410.07</v>
      </c>
      <c r="Q33" s="2"/>
      <c r="R33" s="8">
        <f t="shared" si="16"/>
        <v>5.6857987212319591E-2</v>
      </c>
      <c r="S33" s="2"/>
      <c r="T33" s="7">
        <v>14642.36</v>
      </c>
      <c r="U33" s="2"/>
      <c r="V33" s="8">
        <f t="shared" si="17"/>
        <v>0.16670871664085982</v>
      </c>
      <c r="W33" s="2"/>
      <c r="X33" s="7">
        <f t="shared" si="18"/>
        <v>-1232.2900000000009</v>
      </c>
      <c r="Y33" s="2"/>
      <c r="Z33" s="8">
        <f t="shared" si="19"/>
        <v>-8.4159247552990146E-2</v>
      </c>
    </row>
    <row r="34" spans="1:26" s="24" customFormat="1" hidden="1" outlineLevel="2" x14ac:dyDescent="0.3">
      <c r="A34" s="27"/>
      <c r="B34" s="11" t="str">
        <f>CONCATENATE("          ", "6007", " - ", "STUDENT HOURLY")</f>
        <v xml:space="preserve">          6007 - STUDENT HOURLY</v>
      </c>
      <c r="C34" s="11"/>
      <c r="D34" s="7">
        <v>1818.5</v>
      </c>
      <c r="E34" s="2"/>
      <c r="F34" s="8">
        <f t="shared" si="12"/>
        <v>2.0161424437619875E-2</v>
      </c>
      <c r="G34" s="2"/>
      <c r="H34" s="7">
        <v>2107.88</v>
      </c>
      <c r="I34" s="2"/>
      <c r="J34" s="8">
        <f t="shared" si="13"/>
        <v>3.1526300833071598E-2</v>
      </c>
      <c r="K34" s="2"/>
      <c r="L34" s="7">
        <f t="shared" si="14"/>
        <v>-289.38000000000011</v>
      </c>
      <c r="M34" s="2"/>
      <c r="N34" s="8">
        <f t="shared" si="15"/>
        <v>-0.13728485492532785</v>
      </c>
      <c r="O34" s="11"/>
      <c r="P34" s="7">
        <v>3896.7</v>
      </c>
      <c r="Q34" s="2"/>
      <c r="R34" s="8">
        <f t="shared" si="16"/>
        <v>1.6521801807913437E-2</v>
      </c>
      <c r="S34" s="2"/>
      <c r="T34" s="7">
        <v>3663.88</v>
      </c>
      <c r="U34" s="2"/>
      <c r="V34" s="8">
        <f t="shared" si="17"/>
        <v>4.1714637034338281E-2</v>
      </c>
      <c r="W34" s="2"/>
      <c r="X34" s="7">
        <f t="shared" si="18"/>
        <v>232.81999999999971</v>
      </c>
      <c r="Y34" s="2"/>
      <c r="Z34" s="8">
        <f t="shared" si="19"/>
        <v>6.3544657576121405E-2</v>
      </c>
    </row>
    <row r="35" spans="1:26" s="28" customFormat="1" outlineLevel="1" collapsed="1" x14ac:dyDescent="0.3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17.64</v>
      </c>
      <c r="E35" s="1"/>
      <c r="F35" s="5">
        <f t="shared" ref="F35:F50" si="20">IF(D$12=0,0,D35/D$12)</f>
        <v>1.9557191480869653E-4</v>
      </c>
      <c r="G35" s="1"/>
      <c r="H35" s="1">
        <f>SUM(OSRRefH22_2x_0)</f>
        <v>0</v>
      </c>
      <c r="I35" s="1"/>
      <c r="J35" s="5">
        <f t="shared" ref="J35:J50" si="21">IF(H$12=0,0,H35/H$12)</f>
        <v>0</v>
      </c>
      <c r="K35" s="1"/>
      <c r="L35" s="1">
        <f t="shared" ref="L35:L50" si="22">+D35-H35</f>
        <v>17.64</v>
      </c>
      <c r="M35" s="1"/>
      <c r="N35" s="5">
        <f t="shared" ref="N35:N50" si="23">IF(H35=0,0,L35/H35)</f>
        <v>0</v>
      </c>
      <c r="O35" s="14"/>
      <c r="P35" s="1">
        <f>SUM(OSRRefP22_2x_0)</f>
        <v>17.64</v>
      </c>
      <c r="Q35" s="1"/>
      <c r="R35" s="5">
        <f t="shared" ref="R35:R50" si="24">IF(P$12=0,0,P35/P$12)</f>
        <v>7.4792666587520992E-5</v>
      </c>
      <c r="S35" s="1"/>
      <c r="T35" s="1">
        <f>SUM(OSRRefT22_2x_0)</f>
        <v>0</v>
      </c>
      <c r="U35" s="1"/>
      <c r="V35" s="5">
        <f t="shared" ref="V35:V50" si="25">IF(T$12=0,0,T35/T$12)</f>
        <v>0</v>
      </c>
      <c r="W35" s="1"/>
      <c r="X35" s="1">
        <f t="shared" ref="X35:X50" si="26">+P35-T35</f>
        <v>17.64</v>
      </c>
      <c r="Y35" s="1"/>
      <c r="Z35" s="5">
        <f t="shared" ref="Z35:Z50" si="27">IF(T35=0,0,X35/T35)</f>
        <v>0</v>
      </c>
    </row>
    <row r="36" spans="1:26" s="24" customFormat="1" hidden="1" outlineLevel="2" x14ac:dyDescent="0.3">
      <c r="A36" s="27"/>
      <c r="B36" s="11" t="str">
        <f>CONCATENATE("          ", "6362", " - ", "ADVERTISING EXPENSE")</f>
        <v xml:space="preserve">          6362 - ADVERTISING EXPENSE</v>
      </c>
      <c r="C36" s="11"/>
      <c r="D36" s="7">
        <v>17.64</v>
      </c>
      <c r="E36" s="2"/>
      <c r="F36" s="8">
        <f t="shared" si="20"/>
        <v>1.9557191480869653E-4</v>
      </c>
      <c r="G36" s="2"/>
      <c r="H36" s="7"/>
      <c r="I36" s="2"/>
      <c r="J36" s="8">
        <f t="shared" si="21"/>
        <v>0</v>
      </c>
      <c r="K36" s="2"/>
      <c r="L36" s="7">
        <f t="shared" si="22"/>
        <v>17.64</v>
      </c>
      <c r="M36" s="2"/>
      <c r="N36" s="8">
        <f t="shared" si="23"/>
        <v>0</v>
      </c>
      <c r="O36" s="11"/>
      <c r="P36" s="7">
        <v>17.64</v>
      </c>
      <c r="Q36" s="2"/>
      <c r="R36" s="8">
        <f t="shared" si="24"/>
        <v>7.4792666587520992E-5</v>
      </c>
      <c r="S36" s="2"/>
      <c r="T36" s="7"/>
      <c r="U36" s="2"/>
      <c r="V36" s="8">
        <f t="shared" si="25"/>
        <v>0</v>
      </c>
      <c r="W36" s="2"/>
      <c r="X36" s="7">
        <f t="shared" si="26"/>
        <v>17.64</v>
      </c>
      <c r="Y36" s="2"/>
      <c r="Z36" s="8">
        <f t="shared" si="27"/>
        <v>0</v>
      </c>
    </row>
    <row r="37" spans="1:26" s="28" customFormat="1" outlineLevel="1" collapsed="1" x14ac:dyDescent="0.3">
      <c r="A37" s="29"/>
      <c r="B37" s="14" t="str">
        <f>CONCATENATE("     ","Bank/card Fees                                    ")</f>
        <v xml:space="preserve">     Bank/card Fees                                    </v>
      </c>
      <c r="C37" s="14"/>
      <c r="D37" s="1">
        <f>SUM(OSRRefD22_3x_0)</f>
        <v>467.14</v>
      </c>
      <c r="E37" s="1"/>
      <c r="F37" s="5">
        <f t="shared" si="20"/>
        <v>5.179107952592658E-3</v>
      </c>
      <c r="G37" s="1"/>
      <c r="H37" s="1">
        <f>SUM(OSRRefH22_3x_0)</f>
        <v>124.1</v>
      </c>
      <c r="I37" s="1"/>
      <c r="J37" s="5">
        <f t="shared" si="21"/>
        <v>1.856089499110094E-3</v>
      </c>
      <c r="K37" s="1"/>
      <c r="L37" s="1">
        <f t="shared" si="22"/>
        <v>343.03999999999996</v>
      </c>
      <c r="M37" s="1"/>
      <c r="N37" s="5">
        <f t="shared" si="23"/>
        <v>2.7642224012892829</v>
      </c>
      <c r="O37" s="14"/>
      <c r="P37" s="1">
        <f>SUM(OSRRefP22_3x_0)</f>
        <v>511.26</v>
      </c>
      <c r="Q37" s="1"/>
      <c r="R37" s="5">
        <f t="shared" si="24"/>
        <v>2.1677153469124703E-3</v>
      </c>
      <c r="S37" s="1"/>
      <c r="T37" s="1">
        <f>SUM(OSRRefT22_3x_0)</f>
        <v>370.43</v>
      </c>
      <c r="U37" s="1"/>
      <c r="V37" s="5">
        <f t="shared" si="25"/>
        <v>4.2174833773567719E-3</v>
      </c>
      <c r="W37" s="1"/>
      <c r="X37" s="1">
        <f t="shared" si="26"/>
        <v>140.82999999999998</v>
      </c>
      <c r="Y37" s="1"/>
      <c r="Z37" s="5">
        <f t="shared" si="27"/>
        <v>0.3801797910536403</v>
      </c>
    </row>
    <row r="38" spans="1:26" s="24" customFormat="1" hidden="1" outlineLevel="2" x14ac:dyDescent="0.3">
      <c r="A38" s="27"/>
      <c r="B38" s="11" t="str">
        <f>CONCATENATE("          ", "6381", " - ", "BANK/CREDIT CARD FEES")</f>
        <v xml:space="preserve">          6381 - BANK/CREDIT CARD FEES</v>
      </c>
      <c r="C38" s="11"/>
      <c r="D38" s="7">
        <v>467.14</v>
      </c>
      <c r="E38" s="2"/>
      <c r="F38" s="8">
        <f t="shared" si="20"/>
        <v>5.179107952592658E-3</v>
      </c>
      <c r="G38" s="2"/>
      <c r="H38" s="7">
        <v>124.1</v>
      </c>
      <c r="I38" s="2"/>
      <c r="J38" s="8">
        <f t="shared" si="21"/>
        <v>1.856089499110094E-3</v>
      </c>
      <c r="K38" s="2"/>
      <c r="L38" s="7">
        <f t="shared" si="22"/>
        <v>343.03999999999996</v>
      </c>
      <c r="M38" s="2"/>
      <c r="N38" s="8">
        <f t="shared" si="23"/>
        <v>2.7642224012892829</v>
      </c>
      <c r="O38" s="11"/>
      <c r="P38" s="7">
        <v>511.26</v>
      </c>
      <c r="Q38" s="2"/>
      <c r="R38" s="8">
        <f t="shared" si="24"/>
        <v>2.1677153469124703E-3</v>
      </c>
      <c r="S38" s="2"/>
      <c r="T38" s="7">
        <v>370.43</v>
      </c>
      <c r="U38" s="2"/>
      <c r="V38" s="8">
        <f t="shared" si="25"/>
        <v>4.2174833773567719E-3</v>
      </c>
      <c r="W38" s="2"/>
      <c r="X38" s="7">
        <f t="shared" si="26"/>
        <v>140.82999999999998</v>
      </c>
      <c r="Y38" s="2"/>
      <c r="Z38" s="8">
        <f t="shared" si="27"/>
        <v>0.3801797910536403</v>
      </c>
    </row>
    <row r="39" spans="1:26" s="28" customFormat="1" outlineLevel="1" collapsed="1" x14ac:dyDescent="0.3">
      <c r="A39" s="29"/>
      <c r="B39" s="14" t="str">
        <f>CONCATENATE("     ","Freight out/Postage                               ")</f>
        <v xml:space="preserve">     Freight out/Postage                               </v>
      </c>
      <c r="C39" s="14"/>
      <c r="D39" s="1">
        <f>SUM(OSRRefD22_4x_0)</f>
        <v>0</v>
      </c>
      <c r="E39" s="1"/>
      <c r="F39" s="5">
        <f t="shared" si="20"/>
        <v>0</v>
      </c>
      <c r="G39" s="1"/>
      <c r="H39" s="1">
        <f>SUM(OSRRefH22_4x_0)</f>
        <v>0.28999999999999998</v>
      </c>
      <c r="I39" s="1"/>
      <c r="J39" s="5">
        <f t="shared" si="21"/>
        <v>4.3373566054949817E-6</v>
      </c>
      <c r="K39" s="1"/>
      <c r="L39" s="1">
        <f t="shared" si="22"/>
        <v>-0.28999999999999998</v>
      </c>
      <c r="M39" s="1"/>
      <c r="N39" s="5">
        <f t="shared" si="23"/>
        <v>-1</v>
      </c>
      <c r="O39" s="14"/>
      <c r="P39" s="1">
        <f>SUM(OSRRefP22_4x_0)</f>
        <v>0</v>
      </c>
      <c r="Q39" s="1"/>
      <c r="R39" s="5">
        <f t="shared" si="24"/>
        <v>0</v>
      </c>
      <c r="S39" s="1"/>
      <c r="T39" s="1">
        <f>SUM(OSRRefT22_4x_0)</f>
        <v>0.28999999999999998</v>
      </c>
      <c r="U39" s="1"/>
      <c r="V39" s="5">
        <f t="shared" si="25"/>
        <v>3.3017579014482193E-6</v>
      </c>
      <c r="W39" s="1"/>
      <c r="X39" s="1">
        <f t="shared" si="26"/>
        <v>-0.28999999999999998</v>
      </c>
      <c r="Y39" s="1"/>
      <c r="Z39" s="5">
        <f t="shared" si="27"/>
        <v>-1</v>
      </c>
    </row>
    <row r="40" spans="1:26" s="24" customFormat="1" hidden="1" outlineLevel="2" x14ac:dyDescent="0.3">
      <c r="A40" s="27"/>
      <c r="B40" s="11" t="str">
        <f>CONCATENATE("          ", "6305", " - ", "FREIGHT OUT")</f>
        <v xml:space="preserve">          6305 - FREIGHT OUT</v>
      </c>
      <c r="C40" s="11"/>
      <c r="D40" s="7"/>
      <c r="E40" s="2"/>
      <c r="F40" s="8">
        <f t="shared" si="20"/>
        <v>0</v>
      </c>
      <c r="G40" s="2"/>
      <c r="H40" s="7">
        <v>0.28999999999999998</v>
      </c>
      <c r="I40" s="2"/>
      <c r="J40" s="8">
        <f t="shared" si="21"/>
        <v>4.3373566054949817E-6</v>
      </c>
      <c r="K40" s="2"/>
      <c r="L40" s="7">
        <f t="shared" si="22"/>
        <v>-0.28999999999999998</v>
      </c>
      <c r="M40" s="2"/>
      <c r="N40" s="8">
        <f t="shared" si="23"/>
        <v>-1</v>
      </c>
      <c r="O40" s="11"/>
      <c r="P40" s="7"/>
      <c r="Q40" s="2"/>
      <c r="R40" s="8">
        <f t="shared" si="24"/>
        <v>0</v>
      </c>
      <c r="S40" s="2"/>
      <c r="T40" s="7">
        <v>0.28999999999999998</v>
      </c>
      <c r="U40" s="2"/>
      <c r="V40" s="8">
        <f t="shared" si="25"/>
        <v>3.3017579014482193E-6</v>
      </c>
      <c r="W40" s="2"/>
      <c r="X40" s="7">
        <f t="shared" si="26"/>
        <v>-0.28999999999999998</v>
      </c>
      <c r="Y40" s="2"/>
      <c r="Z40" s="8">
        <f t="shared" si="27"/>
        <v>-1</v>
      </c>
    </row>
    <row r="41" spans="1:26" s="28" customFormat="1" outlineLevel="1" collapsed="1" x14ac:dyDescent="0.3">
      <c r="A41" s="29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SUM(OSRRefD22_5x_0)</f>
        <v>39.43</v>
      </c>
      <c r="E41" s="1"/>
      <c r="F41" s="5">
        <f t="shared" si="20"/>
        <v>4.3715422907635509E-4</v>
      </c>
      <c r="G41" s="1"/>
      <c r="H41" s="1">
        <f>SUM(OSRRefH22_5x_0)</f>
        <v>29.01</v>
      </c>
      <c r="I41" s="1"/>
      <c r="J41" s="5">
        <f t="shared" si="21"/>
        <v>4.3388522457037739E-4</v>
      </c>
      <c r="K41" s="1"/>
      <c r="L41" s="1">
        <f t="shared" si="22"/>
        <v>10.419999999999998</v>
      </c>
      <c r="M41" s="1"/>
      <c r="N41" s="5">
        <f t="shared" si="23"/>
        <v>0.35918648741813158</v>
      </c>
      <c r="O41" s="14"/>
      <c r="P41" s="1">
        <f>SUM(OSRRefP22_5x_0)</f>
        <v>78.86</v>
      </c>
      <c r="Q41" s="1"/>
      <c r="R41" s="5">
        <f t="shared" si="24"/>
        <v>3.3436222715940505E-4</v>
      </c>
      <c r="S41" s="1"/>
      <c r="T41" s="1">
        <f>SUM(OSRRefT22_5x_0)</f>
        <v>58.02</v>
      </c>
      <c r="U41" s="1"/>
      <c r="V41" s="5">
        <f t="shared" si="25"/>
        <v>6.6057928773112311E-4</v>
      </c>
      <c r="W41" s="1"/>
      <c r="X41" s="1">
        <f t="shared" si="26"/>
        <v>20.839999999999996</v>
      </c>
      <c r="Y41" s="1"/>
      <c r="Z41" s="5">
        <f t="shared" si="27"/>
        <v>0.35918648741813158</v>
      </c>
    </row>
    <row r="42" spans="1:26" s="24" customFormat="1" hidden="1" outlineLevel="2" x14ac:dyDescent="0.3">
      <c r="A42" s="27"/>
      <c r="B42" s="11" t="str">
        <f>CONCATENATE("          ", "6314", " - ", "LIABILITY INSURANCE")</f>
        <v xml:space="preserve">          6314 - LIABILITY INSURANCE</v>
      </c>
      <c r="C42" s="11"/>
      <c r="D42" s="7">
        <v>39.43</v>
      </c>
      <c r="E42" s="2"/>
      <c r="F42" s="8">
        <f t="shared" si="20"/>
        <v>4.3715422907635509E-4</v>
      </c>
      <c r="G42" s="2"/>
      <c r="H42" s="7">
        <v>29.01</v>
      </c>
      <c r="I42" s="2"/>
      <c r="J42" s="8">
        <f t="shared" si="21"/>
        <v>4.3388522457037739E-4</v>
      </c>
      <c r="K42" s="2"/>
      <c r="L42" s="7">
        <f t="shared" si="22"/>
        <v>10.419999999999998</v>
      </c>
      <c r="M42" s="2"/>
      <c r="N42" s="8">
        <f t="shared" si="23"/>
        <v>0.35918648741813158</v>
      </c>
      <c r="O42" s="11"/>
      <c r="P42" s="7">
        <v>78.86</v>
      </c>
      <c r="Q42" s="2"/>
      <c r="R42" s="8">
        <f t="shared" si="24"/>
        <v>3.3436222715940505E-4</v>
      </c>
      <c r="S42" s="2"/>
      <c r="T42" s="7">
        <v>58.02</v>
      </c>
      <c r="U42" s="2"/>
      <c r="V42" s="8">
        <f t="shared" si="25"/>
        <v>6.6057928773112311E-4</v>
      </c>
      <c r="W42" s="2"/>
      <c r="X42" s="7">
        <f t="shared" si="26"/>
        <v>20.839999999999996</v>
      </c>
      <c r="Y42" s="2"/>
      <c r="Z42" s="8">
        <f t="shared" si="27"/>
        <v>0.35918648741813158</v>
      </c>
    </row>
    <row r="43" spans="1:26" s="28" customFormat="1" outlineLevel="1" collapsed="1" x14ac:dyDescent="0.3">
      <c r="A43" s="29"/>
      <c r="B43" s="14" t="str">
        <f>CONCATENATE("     ","Rent                                              ")</f>
        <v xml:space="preserve">     Rent                                              </v>
      </c>
      <c r="C43" s="14"/>
      <c r="D43" s="1">
        <f>SUM(OSRRefD22_6x_0)</f>
        <v>800</v>
      </c>
      <c r="E43" s="1"/>
      <c r="F43" s="5">
        <f t="shared" si="20"/>
        <v>8.8694745944987077E-3</v>
      </c>
      <c r="G43" s="1"/>
      <c r="H43" s="1">
        <f>SUM(OSRRefH22_6x_0)</f>
        <v>800</v>
      </c>
      <c r="I43" s="1"/>
      <c r="J43" s="5">
        <f t="shared" si="21"/>
        <v>1.1965121670330986E-2</v>
      </c>
      <c r="K43" s="1"/>
      <c r="L43" s="1">
        <f t="shared" si="22"/>
        <v>0</v>
      </c>
      <c r="M43" s="1"/>
      <c r="N43" s="5">
        <f t="shared" si="23"/>
        <v>0</v>
      </c>
      <c r="O43" s="14"/>
      <c r="P43" s="1">
        <f>SUM(OSRRefP22_6x_0)</f>
        <v>1600</v>
      </c>
      <c r="Q43" s="1"/>
      <c r="R43" s="5">
        <f t="shared" si="24"/>
        <v>6.7839153367365975E-3</v>
      </c>
      <c r="S43" s="1"/>
      <c r="T43" s="1">
        <f>SUM(OSRRefT22_6x_0)</f>
        <v>1600</v>
      </c>
      <c r="U43" s="1"/>
      <c r="V43" s="5">
        <f t="shared" si="25"/>
        <v>1.8216595318335003E-2</v>
      </c>
      <c r="W43" s="1"/>
      <c r="X43" s="1">
        <f t="shared" si="26"/>
        <v>0</v>
      </c>
      <c r="Y43" s="1"/>
      <c r="Z43" s="5">
        <f t="shared" si="27"/>
        <v>0</v>
      </c>
    </row>
    <row r="44" spans="1:26" s="24" customFormat="1" hidden="1" outlineLevel="2" x14ac:dyDescent="0.3">
      <c r="A44" s="27"/>
      <c r="B44" s="11" t="str">
        <f>CONCATENATE("          ", "6273", " - ", "RENT")</f>
        <v xml:space="preserve">          6273 - RENT</v>
      </c>
      <c r="C44" s="11"/>
      <c r="D44" s="7">
        <v>800</v>
      </c>
      <c r="E44" s="2"/>
      <c r="F44" s="8">
        <f t="shared" si="20"/>
        <v>8.8694745944987077E-3</v>
      </c>
      <c r="G44" s="2"/>
      <c r="H44" s="7">
        <v>800</v>
      </c>
      <c r="I44" s="2"/>
      <c r="J44" s="8">
        <f t="shared" si="21"/>
        <v>1.1965121670330986E-2</v>
      </c>
      <c r="K44" s="2"/>
      <c r="L44" s="7">
        <f t="shared" si="22"/>
        <v>0</v>
      </c>
      <c r="M44" s="2"/>
      <c r="N44" s="8">
        <f t="shared" si="23"/>
        <v>0</v>
      </c>
      <c r="O44" s="11"/>
      <c r="P44" s="7">
        <v>1600</v>
      </c>
      <c r="Q44" s="2"/>
      <c r="R44" s="8">
        <f t="shared" si="24"/>
        <v>6.7839153367365975E-3</v>
      </c>
      <c r="S44" s="2"/>
      <c r="T44" s="7">
        <v>1600</v>
      </c>
      <c r="U44" s="2"/>
      <c r="V44" s="8">
        <f t="shared" si="25"/>
        <v>1.8216595318335003E-2</v>
      </c>
      <c r="W44" s="2"/>
      <c r="X44" s="7">
        <f t="shared" si="26"/>
        <v>0</v>
      </c>
      <c r="Y44" s="2"/>
      <c r="Z44" s="8">
        <f t="shared" si="27"/>
        <v>0</v>
      </c>
    </row>
    <row r="45" spans="1:26" s="28" customFormat="1" outlineLevel="1" collapsed="1" x14ac:dyDescent="0.3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0</v>
      </c>
      <c r="E45" s="1"/>
      <c r="F45" s="5">
        <f t="shared" si="20"/>
        <v>0</v>
      </c>
      <c r="G45" s="1"/>
      <c r="H45" s="1">
        <f>SUM(OSRRefH22_7x_0)</f>
        <v>0</v>
      </c>
      <c r="I45" s="1"/>
      <c r="J45" s="5">
        <f t="shared" si="21"/>
        <v>0</v>
      </c>
      <c r="K45" s="1"/>
      <c r="L45" s="1">
        <f t="shared" si="22"/>
        <v>0</v>
      </c>
      <c r="M45" s="1"/>
      <c r="N45" s="5">
        <f t="shared" si="23"/>
        <v>0</v>
      </c>
      <c r="O45" s="14"/>
      <c r="P45" s="1">
        <f>SUM(OSRRefP22_7x_0)</f>
        <v>122000.62</v>
      </c>
      <c r="Q45" s="1"/>
      <c r="R45" s="5">
        <f t="shared" si="24"/>
        <v>0.5172761731933585</v>
      </c>
      <c r="S45" s="1"/>
      <c r="T45" s="1">
        <f>SUM(OSRRefT22_7x_0)</f>
        <v>0</v>
      </c>
      <c r="U45" s="1"/>
      <c r="V45" s="5">
        <f t="shared" si="25"/>
        <v>0</v>
      </c>
      <c r="W45" s="1"/>
      <c r="X45" s="1">
        <f t="shared" si="26"/>
        <v>122000.62</v>
      </c>
      <c r="Y45" s="1"/>
      <c r="Z45" s="5">
        <f t="shared" si="27"/>
        <v>0</v>
      </c>
    </row>
    <row r="46" spans="1:26" s="24" customFormat="1" hidden="1" outlineLevel="2" x14ac:dyDescent="0.3">
      <c r="A46" s="27"/>
      <c r="B46" s="11" t="str">
        <f>CONCATENATE("          ", "6373", " - ", "MAINTENANCE CONTRACTS")</f>
        <v xml:space="preserve">          6373 - MAINTENANCE CONTRACTS</v>
      </c>
      <c r="C46" s="11"/>
      <c r="D46" s="7"/>
      <c r="E46" s="2"/>
      <c r="F46" s="8">
        <f t="shared" si="20"/>
        <v>0</v>
      </c>
      <c r="G46" s="2"/>
      <c r="H46" s="7"/>
      <c r="I46" s="2"/>
      <c r="J46" s="8">
        <f t="shared" si="21"/>
        <v>0</v>
      </c>
      <c r="K46" s="2"/>
      <c r="L46" s="7">
        <f t="shared" si="22"/>
        <v>0</v>
      </c>
      <c r="M46" s="2"/>
      <c r="N46" s="8">
        <f t="shared" si="23"/>
        <v>0</v>
      </c>
      <c r="O46" s="11"/>
      <c r="P46" s="7">
        <v>122000.62</v>
      </c>
      <c r="Q46" s="2"/>
      <c r="R46" s="8">
        <f t="shared" si="24"/>
        <v>0.5172761731933585</v>
      </c>
      <c r="S46" s="2"/>
      <c r="T46" s="7"/>
      <c r="U46" s="2"/>
      <c r="V46" s="8">
        <f t="shared" si="25"/>
        <v>0</v>
      </c>
      <c r="W46" s="2"/>
      <c r="X46" s="7">
        <f t="shared" si="26"/>
        <v>122000.62</v>
      </c>
      <c r="Y46" s="2"/>
      <c r="Z46" s="8">
        <f t="shared" si="27"/>
        <v>0</v>
      </c>
    </row>
    <row r="47" spans="1:26" s="28" customFormat="1" outlineLevel="1" collapsed="1" x14ac:dyDescent="0.3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1601.24</v>
      </c>
      <c r="E47" s="1"/>
      <c r="F47" s="5">
        <f t="shared" si="20"/>
        <v>1.775269687461889E-2</v>
      </c>
      <c r="G47" s="1"/>
      <c r="H47" s="1">
        <f>SUM(OSRRefH22_8x_0)</f>
        <v>35090.559999999998</v>
      </c>
      <c r="I47" s="1"/>
      <c r="J47" s="5">
        <f t="shared" si="21"/>
        <v>0.52482852485006204</v>
      </c>
      <c r="K47" s="1"/>
      <c r="L47" s="1">
        <f t="shared" si="22"/>
        <v>-33489.32</v>
      </c>
      <c r="M47" s="1"/>
      <c r="N47" s="5">
        <f t="shared" si="23"/>
        <v>-0.9543683543380328</v>
      </c>
      <c r="O47" s="14"/>
      <c r="P47" s="1">
        <f>SUM(OSRRefP22_8x_0)</f>
        <v>1957.95</v>
      </c>
      <c r="Q47" s="1"/>
      <c r="R47" s="5">
        <f t="shared" si="24"/>
        <v>8.3016043959771389E-3</v>
      </c>
      <c r="S47" s="1"/>
      <c r="T47" s="1">
        <f>SUM(OSRRefT22_8x_0)</f>
        <v>35183.15</v>
      </c>
      <c r="U47" s="1"/>
      <c r="V47" s="5">
        <f t="shared" si="25"/>
        <v>0.40057325348392386</v>
      </c>
      <c r="W47" s="1"/>
      <c r="X47" s="1">
        <f t="shared" si="26"/>
        <v>-33225.200000000004</v>
      </c>
      <c r="Y47" s="1"/>
      <c r="Z47" s="5">
        <f t="shared" si="27"/>
        <v>-0.94434978107417911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7">
        <v>1601.24</v>
      </c>
      <c r="E48" s="2"/>
      <c r="F48" s="8">
        <f t="shared" si="20"/>
        <v>1.775269687461889E-2</v>
      </c>
      <c r="G48" s="2"/>
      <c r="H48" s="7">
        <v>35090.559999999998</v>
      </c>
      <c r="I48" s="2"/>
      <c r="J48" s="8">
        <f t="shared" si="21"/>
        <v>0.52482852485006204</v>
      </c>
      <c r="K48" s="2"/>
      <c r="L48" s="7">
        <f t="shared" si="22"/>
        <v>-33489.32</v>
      </c>
      <c r="M48" s="2"/>
      <c r="N48" s="8">
        <f t="shared" si="23"/>
        <v>-0.9543683543380328</v>
      </c>
      <c r="O48" s="11"/>
      <c r="P48" s="7">
        <v>1957.95</v>
      </c>
      <c r="Q48" s="2"/>
      <c r="R48" s="8">
        <f t="shared" si="24"/>
        <v>8.3016043959771389E-3</v>
      </c>
      <c r="S48" s="2"/>
      <c r="T48" s="7">
        <v>35183.15</v>
      </c>
      <c r="U48" s="2"/>
      <c r="V48" s="8">
        <f t="shared" si="25"/>
        <v>0.40057325348392386</v>
      </c>
      <c r="W48" s="2"/>
      <c r="X48" s="7">
        <f t="shared" si="26"/>
        <v>-33225.200000000004</v>
      </c>
      <c r="Y48" s="2"/>
      <c r="Z48" s="8">
        <f t="shared" si="27"/>
        <v>-0.94434978107417911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SUM(OSRRefD22_9x_0)</f>
        <v>86.95</v>
      </c>
      <c r="E49" s="1"/>
      <c r="F49" s="5">
        <f t="shared" si="20"/>
        <v>9.6400101998957838E-4</v>
      </c>
      <c r="G49" s="1"/>
      <c r="H49" s="1">
        <f>SUM(OSRRefH22_9x_0)</f>
        <v>137.15</v>
      </c>
      <c r="I49" s="1"/>
      <c r="J49" s="5">
        <f t="shared" si="21"/>
        <v>2.0512705463573682E-3</v>
      </c>
      <c r="K49" s="1"/>
      <c r="L49" s="1">
        <f t="shared" si="22"/>
        <v>-50.2</v>
      </c>
      <c r="M49" s="1"/>
      <c r="N49" s="5">
        <f t="shared" si="23"/>
        <v>-0.36602260298942763</v>
      </c>
      <c r="O49" s="14"/>
      <c r="P49" s="1">
        <f>SUM(OSRRefP22_9x_0)</f>
        <v>-163.30000000000001</v>
      </c>
      <c r="Q49" s="1"/>
      <c r="R49" s="5">
        <f t="shared" si="24"/>
        <v>-6.9238335905567904E-4</v>
      </c>
      <c r="S49" s="1"/>
      <c r="T49" s="1">
        <f>SUM(OSRRefT22_9x_0)</f>
        <v>292.08</v>
      </c>
      <c r="U49" s="1"/>
      <c r="V49" s="5">
        <f t="shared" si="25"/>
        <v>3.3254394753620548E-3</v>
      </c>
      <c r="W49" s="1"/>
      <c r="X49" s="1">
        <f t="shared" si="26"/>
        <v>-455.38</v>
      </c>
      <c r="Y49" s="1"/>
      <c r="Z49" s="5">
        <f t="shared" si="27"/>
        <v>-1.5590933990687483</v>
      </c>
    </row>
    <row r="50" spans="1:26" s="24" customFormat="1" hidden="1" outlineLevel="2" x14ac:dyDescent="0.3">
      <c r="A50" s="27"/>
      <c r="B50" s="11" t="str">
        <f>CONCATENATE("          ", "6309", " - ", "TELEPHONE")</f>
        <v xml:space="preserve">          6309 - TELEPHONE</v>
      </c>
      <c r="C50" s="11"/>
      <c r="D50" s="7">
        <v>86.95</v>
      </c>
      <c r="E50" s="2"/>
      <c r="F50" s="8">
        <f t="shared" si="20"/>
        <v>9.6400101998957838E-4</v>
      </c>
      <c r="G50" s="2"/>
      <c r="H50" s="7">
        <v>137.15</v>
      </c>
      <c r="I50" s="2"/>
      <c r="J50" s="8">
        <f t="shared" si="21"/>
        <v>2.0512705463573682E-3</v>
      </c>
      <c r="K50" s="2"/>
      <c r="L50" s="7">
        <f t="shared" si="22"/>
        <v>-50.2</v>
      </c>
      <c r="M50" s="2"/>
      <c r="N50" s="8">
        <f t="shared" si="23"/>
        <v>-0.36602260298942763</v>
      </c>
      <c r="O50" s="11"/>
      <c r="P50" s="7">
        <v>-163.30000000000001</v>
      </c>
      <c r="Q50" s="2"/>
      <c r="R50" s="8">
        <f t="shared" si="24"/>
        <v>-6.9238335905567904E-4</v>
      </c>
      <c r="S50" s="2"/>
      <c r="T50" s="7">
        <v>292.08</v>
      </c>
      <c r="U50" s="2"/>
      <c r="V50" s="8">
        <f t="shared" si="25"/>
        <v>3.3254394753620548E-3</v>
      </c>
      <c r="W50" s="2"/>
      <c r="X50" s="7">
        <f t="shared" si="26"/>
        <v>-455.38</v>
      </c>
      <c r="Y50" s="2"/>
      <c r="Z50" s="8">
        <f t="shared" si="27"/>
        <v>-1.5590933990687483</v>
      </c>
    </row>
    <row r="51" spans="1:26" s="61" customFormat="1" x14ac:dyDescent="0.3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3">
      <c r="A52" s="10"/>
      <c r="B52" s="26" t="s">
        <v>292</v>
      </c>
      <c r="C52" s="10"/>
      <c r="D52" s="4">
        <f>SUM(OSRRefD25x_0)</f>
        <v>1456.68</v>
      </c>
      <c r="E52" s="4"/>
      <c r="F52" s="12">
        <f t="shared" ref="F52:F53" si="28">IF(D$12=0,0,D52/D$12)</f>
        <v>1.6149982815392976E-2</v>
      </c>
      <c r="G52" s="4"/>
      <c r="H52" s="4">
        <f>SUM(OSRRefH25x_0)</f>
        <v>325</v>
      </c>
      <c r="I52" s="4"/>
      <c r="J52" s="12">
        <f t="shared" ref="J52:J53" si="29">IF(H$12=0,0,H52/H$12)</f>
        <v>4.8608306785719625E-3</v>
      </c>
      <c r="K52" s="4"/>
      <c r="L52" s="4">
        <f t="shared" ref="L52:L53" si="30">+D52-H52</f>
        <v>1131.68</v>
      </c>
      <c r="M52" s="4"/>
      <c r="N52" s="12">
        <f t="shared" ref="N52:N53" si="31">IF(H52=0,0,L52/H52)</f>
        <v>3.4820923076923078</v>
      </c>
      <c r="O52" s="10"/>
      <c r="P52" s="4">
        <f>SUM(OSRRefP25x_0)</f>
        <v>1564.84</v>
      </c>
      <c r="Q52" s="4"/>
      <c r="R52" s="12">
        <f t="shared" ref="R52:R53" si="32">IF(P$12=0,0,P52/P$12)</f>
        <v>6.6348387972118101E-3</v>
      </c>
      <c r="S52" s="4"/>
      <c r="T52" s="4">
        <f>SUM(OSRRefT25x_0)</f>
        <v>490</v>
      </c>
      <c r="U52" s="4"/>
      <c r="V52" s="12">
        <f t="shared" ref="V52:V53" si="33">IF(T$12=0,0,T52/T$12)</f>
        <v>5.5788323162400946E-3</v>
      </c>
      <c r="W52" s="4"/>
      <c r="X52" s="4">
        <f t="shared" ref="X52:X53" si="34">+P52-T52</f>
        <v>1074.8399999999999</v>
      </c>
      <c r="Y52" s="4"/>
      <c r="Z52" s="12">
        <f t="shared" ref="Z52:Z53" si="35">IF(T52=0,0,X52/T52)</f>
        <v>2.193551020408163</v>
      </c>
    </row>
    <row r="53" spans="1:26" s="24" customFormat="1" hidden="1" outlineLevel="1" x14ac:dyDescent="0.3">
      <c r="A53" s="44"/>
      <c r="B53" s="11" t="str">
        <f>CONCATENATE("          ", "9150", " - ", "MISC. INCOME")</f>
        <v xml:space="preserve">          9150 - MISC. INCOME</v>
      </c>
      <c r="C53" s="11"/>
      <c r="D53" s="2">
        <f>--1456.68</f>
        <v>1456.68</v>
      </c>
      <c r="E53" s="2"/>
      <c r="F53" s="19">
        <f t="shared" si="28"/>
        <v>1.6149982815392976E-2</v>
      </c>
      <c r="G53" s="2"/>
      <c r="H53" s="2">
        <f>--325</f>
        <v>325</v>
      </c>
      <c r="I53" s="2"/>
      <c r="J53" s="19">
        <f t="shared" si="29"/>
        <v>4.8608306785719625E-3</v>
      </c>
      <c r="K53" s="2"/>
      <c r="L53" s="2">
        <f t="shared" si="30"/>
        <v>1131.68</v>
      </c>
      <c r="M53" s="2"/>
      <c r="N53" s="19">
        <f t="shared" si="31"/>
        <v>3.4820923076923078</v>
      </c>
      <c r="O53" s="11"/>
      <c r="P53" s="2">
        <f>--1564.84</f>
        <v>1564.84</v>
      </c>
      <c r="Q53" s="2"/>
      <c r="R53" s="19">
        <f t="shared" si="32"/>
        <v>6.6348387972118101E-3</v>
      </c>
      <c r="S53" s="2"/>
      <c r="T53" s="2">
        <f>--490</f>
        <v>490</v>
      </c>
      <c r="U53" s="2"/>
      <c r="V53" s="19">
        <f t="shared" si="33"/>
        <v>5.5788323162400946E-3</v>
      </c>
      <c r="W53" s="2"/>
      <c r="X53" s="2">
        <f t="shared" si="34"/>
        <v>1074.8399999999999</v>
      </c>
      <c r="Y53" s="2"/>
      <c r="Z53" s="19">
        <f t="shared" si="35"/>
        <v>2.193551020408163</v>
      </c>
    </row>
    <row r="54" spans="1:26" x14ac:dyDescent="0.3">
      <c r="A54" s="9"/>
      <c r="B54" s="10"/>
      <c r="C54" s="10"/>
      <c r="D54" s="3"/>
      <c r="E54" s="3"/>
      <c r="F54" s="6"/>
      <c r="G54" s="3"/>
      <c r="H54" s="3"/>
      <c r="I54" s="3"/>
      <c r="J54" s="6"/>
      <c r="K54" s="3"/>
      <c r="L54" s="3"/>
      <c r="M54" s="3"/>
      <c r="N54" s="6"/>
      <c r="O54" s="10"/>
      <c r="P54" s="3"/>
      <c r="Q54" s="3"/>
      <c r="R54" s="6"/>
      <c r="S54" s="3"/>
      <c r="T54" s="3"/>
      <c r="U54" s="3"/>
      <c r="V54" s="6"/>
      <c r="W54" s="3"/>
      <c r="X54" s="3"/>
      <c r="Y54" s="3"/>
      <c r="Z54" s="6"/>
    </row>
    <row r="55" spans="1:26" s="23" customFormat="1" x14ac:dyDescent="0.3">
      <c r="A55" s="10"/>
      <c r="B55" s="25" t="s">
        <v>276</v>
      </c>
      <c r="C55" s="25"/>
      <c r="D55" s="20">
        <f>+D17-D19+D52</f>
        <v>67291.799999999988</v>
      </c>
      <c r="E55" s="13"/>
      <c r="F55" s="22">
        <f>IF(D$12=0,0,D55/D$12)</f>
        <v>0.74605363814761005</v>
      </c>
      <c r="G55" s="13"/>
      <c r="H55" s="20">
        <f>+H17-H19+H52</f>
        <v>10086.040000000001</v>
      </c>
      <c r="I55" s="13"/>
      <c r="J55" s="22">
        <f>IF(H$12=0,0,H55/H$12)</f>
        <v>0.15085086971478143</v>
      </c>
      <c r="K55" s="15"/>
      <c r="L55" s="20">
        <f>+D55-H55</f>
        <v>57205.759999999987</v>
      </c>
      <c r="M55" s="15"/>
      <c r="N55" s="22">
        <f>IF(H55=0,0,L55/H55)</f>
        <v>5.6717760389607799</v>
      </c>
      <c r="O55" s="26"/>
      <c r="P55" s="20">
        <f>+P17-P19+P52</f>
        <v>67291.939999999973</v>
      </c>
      <c r="Q55" s="13"/>
      <c r="R55" s="22">
        <f>IF(P$12=0,0,P55/P$12)</f>
        <v>0.28531426487797423</v>
      </c>
      <c r="S55" s="13"/>
      <c r="T55" s="20">
        <f>+T17-T19+T52</f>
        <v>10086.180000000008</v>
      </c>
      <c r="U55" s="13"/>
      <c r="V55" s="22">
        <f>IF(T$12=0,0,T55/T$12)</f>
        <v>0.11483491210492767</v>
      </c>
      <c r="W55" s="15"/>
      <c r="X55" s="20">
        <f>+P55-T55</f>
        <v>57205.759999999966</v>
      </c>
      <c r="Y55" s="15"/>
      <c r="Z55" s="22">
        <f>IF(T55=0,0,X55/T55)</f>
        <v>5.6716973125603474</v>
      </c>
    </row>
    <row r="56" spans="1:26" x14ac:dyDescent="0.3">
      <c r="A56" s="9"/>
      <c r="B56" s="10"/>
      <c r="C56" s="9"/>
      <c r="D56" s="3"/>
      <c r="E56" s="3"/>
      <c r="F56" s="6"/>
      <c r="G56" s="3"/>
      <c r="H56" s="3"/>
      <c r="I56" s="3"/>
      <c r="J56" s="6"/>
      <c r="K56" s="3"/>
      <c r="L56" s="3"/>
      <c r="M56" s="3"/>
      <c r="N56" s="6"/>
      <c r="P56" s="3"/>
      <c r="Q56" s="3"/>
      <c r="R56" s="6"/>
      <c r="S56" s="3"/>
      <c r="T56" s="3"/>
      <c r="U56" s="3"/>
      <c r="V56" s="6"/>
      <c r="W56" s="3"/>
      <c r="X56" s="3"/>
      <c r="Y56" s="3"/>
      <c r="Z56" s="6"/>
    </row>
    <row r="57" spans="1:26" s="23" customFormat="1" x14ac:dyDescent="0.3">
      <c r="A57" s="51"/>
      <c r="B57" s="10" t="s">
        <v>127</v>
      </c>
      <c r="C57" s="10"/>
      <c r="D57" s="4">
        <v>-32047.93</v>
      </c>
      <c r="E57" s="4"/>
      <c r="F57" s="12">
        <f>IF(D$12=0,0,D57/D$12)</f>
        <v>-0.35531037617659122</v>
      </c>
      <c r="G57" s="4"/>
      <c r="H57" s="4">
        <v>4743.34</v>
      </c>
      <c r="I57" s="4"/>
      <c r="J57" s="12">
        <f>IF(H$12=0,0,H57/H$12)</f>
        <v>7.0943300279684721E-2</v>
      </c>
      <c r="K57" s="4"/>
      <c r="L57" s="4">
        <f>+D57-H57</f>
        <v>-36791.270000000004</v>
      </c>
      <c r="M57" s="4"/>
      <c r="N57" s="12">
        <f>IF(H57=0,0,L57/H57)</f>
        <v>-7.7564058237444504</v>
      </c>
      <c r="O57" s="10"/>
      <c r="P57" s="4">
        <v>35244.080000000002</v>
      </c>
      <c r="Q57" s="4"/>
      <c r="R57" s="12">
        <f>IF(P$12=0,0,P57/P$12)</f>
        <v>0.14943303427573223</v>
      </c>
      <c r="S57" s="4"/>
      <c r="T57" s="4">
        <v>14829.27</v>
      </c>
      <c r="U57" s="4"/>
      <c r="V57" s="12">
        <f>IF(T$12=0,0,T57/T$12)</f>
        <v>0.16883675653520358</v>
      </c>
      <c r="W57" s="4"/>
      <c r="X57" s="4">
        <f>+P57-T57</f>
        <v>20414.810000000001</v>
      </c>
      <c r="Y57" s="4"/>
      <c r="Z57" s="12">
        <f>IF(T57=0,0,X57/T57)</f>
        <v>1.3766564368981076</v>
      </c>
    </row>
    <row r="58" spans="1:26" x14ac:dyDescent="0.3">
      <c r="A58" s="9"/>
      <c r="B58" s="10"/>
      <c r="C58" s="10"/>
      <c r="D58" s="3"/>
      <c r="E58" s="3"/>
      <c r="F58" s="6"/>
      <c r="G58" s="3"/>
      <c r="H58" s="3"/>
      <c r="I58" s="3"/>
      <c r="J58" s="6"/>
      <c r="K58" s="3"/>
      <c r="L58" s="3"/>
      <c r="M58" s="3"/>
      <c r="N58" s="6"/>
      <c r="O58" s="10"/>
      <c r="P58" s="3"/>
      <c r="Q58" s="3"/>
      <c r="R58" s="6"/>
      <c r="S58" s="3"/>
      <c r="T58" s="3"/>
      <c r="U58" s="3"/>
      <c r="V58" s="6"/>
      <c r="W58" s="3"/>
      <c r="X58" s="3"/>
      <c r="Y58" s="3"/>
      <c r="Z58" s="6"/>
    </row>
    <row r="59" spans="1:26" s="23" customFormat="1" ht="15" thickBot="1" x14ac:dyDescent="0.35">
      <c r="A59" s="10"/>
      <c r="B59" s="25" t="s">
        <v>125</v>
      </c>
      <c r="C59" s="25"/>
      <c r="D59" s="33">
        <f>+D55-D57</f>
        <v>99339.729999999981</v>
      </c>
      <c r="E59" s="13"/>
      <c r="F59" s="36">
        <f>IF(D$12=0,0,D59/D$12)</f>
        <v>1.1013640143242012</v>
      </c>
      <c r="G59" s="13"/>
      <c r="H59" s="33">
        <f>+H55-H57</f>
        <v>5342.7000000000007</v>
      </c>
      <c r="I59" s="13"/>
      <c r="J59" s="36">
        <f>IF(H$12=0,0,H59/H$12)</f>
        <v>7.9907569435096706E-2</v>
      </c>
      <c r="K59" s="15"/>
      <c r="L59" s="33">
        <f>D59-H59</f>
        <v>93997.029999999984</v>
      </c>
      <c r="M59" s="15"/>
      <c r="N59" s="36">
        <f>IF(H59=0,0,L59/H59)</f>
        <v>17.593544462537661</v>
      </c>
      <c r="O59" s="26"/>
      <c r="P59" s="33">
        <f>+P55-P57</f>
        <v>32047.859999999971</v>
      </c>
      <c r="Q59" s="13"/>
      <c r="R59" s="36">
        <f>IF(P$12=0,0,P59/P$12)</f>
        <v>0.13588123060224197</v>
      </c>
      <c r="S59" s="13"/>
      <c r="T59" s="33">
        <f>+T55-T57</f>
        <v>-4743.0899999999929</v>
      </c>
      <c r="U59" s="13"/>
      <c r="V59" s="36">
        <f>IF(T$12=0,0,T59/T$12)</f>
        <v>-5.4001844430275898E-2</v>
      </c>
      <c r="W59" s="15"/>
      <c r="X59" s="33">
        <f>P59-T59</f>
        <v>36790.949999999968</v>
      </c>
      <c r="Y59" s="15"/>
      <c r="Z59" s="36">
        <f>IF(T59=0,0,X59/T59)</f>
        <v>-7.7567471837979092</v>
      </c>
    </row>
    <row r="60" spans="1:26" ht="15" thickTop="1" x14ac:dyDescent="0.3">
      <c r="A60" s="9"/>
      <c r="B60" s="9"/>
      <c r="C60" s="9"/>
      <c r="D60" s="3"/>
      <c r="E60" s="3"/>
      <c r="F60" s="6"/>
      <c r="G60" s="3"/>
      <c r="H60" s="3"/>
      <c r="I60" s="3"/>
      <c r="J60" s="6"/>
      <c r="K60" s="3"/>
      <c r="L60" s="3"/>
      <c r="M60" s="3"/>
      <c r="N60" s="6"/>
      <c r="P60" s="3"/>
      <c r="Q60" s="3"/>
      <c r="R60" s="6"/>
      <c r="S60" s="3"/>
      <c r="T60" s="3"/>
      <c r="U60" s="3"/>
      <c r="V60" s="6"/>
      <c r="W60" s="3"/>
      <c r="X60" s="3"/>
      <c r="Y60" s="3"/>
      <c r="Z60" s="6"/>
    </row>
    <row r="61" spans="1:26" x14ac:dyDescent="0.3">
      <c r="A61" s="9"/>
      <c r="B61" s="9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ht="15" thickBot="1" x14ac:dyDescent="0.35">
      <c r="A62" s="10"/>
      <c r="B62" s="25" t="s">
        <v>293</v>
      </c>
      <c r="C62" s="25"/>
      <c r="D62" s="30">
        <f>SUM(D59:D61)</f>
        <v>99339.729999999981</v>
      </c>
      <c r="E62" s="13"/>
      <c r="F62" s="31">
        <f>IF(D$12=0,0,D62/D$12)</f>
        <v>1.1013640143242012</v>
      </c>
      <c r="G62" s="13"/>
      <c r="H62" s="30">
        <f>SUM(H59:H61)</f>
        <v>5342.7000000000007</v>
      </c>
      <c r="I62" s="13"/>
      <c r="J62" s="31">
        <f>IF(H$12=0,0,H62/H$12)</f>
        <v>7.9907569435096706E-2</v>
      </c>
      <c r="K62" s="15"/>
      <c r="L62" s="30">
        <f>+D62-H62</f>
        <v>93997.029999999984</v>
      </c>
      <c r="M62" s="15"/>
      <c r="N62" s="31">
        <f>IF(H62=0,0,L62/H62)</f>
        <v>17.593544462537661</v>
      </c>
      <c r="O62" s="26"/>
      <c r="P62" s="30">
        <f>SUM(P59:P61)</f>
        <v>32047.859999999971</v>
      </c>
      <c r="Q62" s="13"/>
      <c r="R62" s="31">
        <f>IF(P$12=0,0,P62/P$12)</f>
        <v>0.13588123060224197</v>
      </c>
      <c r="S62" s="13"/>
      <c r="T62" s="30">
        <f>SUM(T59:T61)</f>
        <v>-4743.0899999999929</v>
      </c>
      <c r="U62" s="13"/>
      <c r="V62" s="31">
        <f>IF(T$12=0,0,T62/T$12)</f>
        <v>-5.4001844430275898E-2</v>
      </c>
      <c r="W62" s="15"/>
      <c r="X62" s="30">
        <f>+P62-T62</f>
        <v>36790.949999999968</v>
      </c>
      <c r="Y62" s="15"/>
      <c r="Z62" s="31">
        <f>IF(T62=0,0,X62/T62)</f>
        <v>-7.7567471837979092</v>
      </c>
    </row>
    <row r="63" spans="1:26" ht="15" thickTop="1" x14ac:dyDescent="0.3">
      <c r="A63" s="9"/>
      <c r="C63" s="9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3">
      <c r="A64" s="9"/>
      <c r="B64" s="59">
        <v>44470.840519942132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3">
      <c r="A65" s="9"/>
      <c r="B65" s="58" t="s">
        <v>56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3">
      <c r="A66" s="9"/>
      <c r="B66" s="52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3"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str">
        <f>CONCATENATE("Period ",RIGHT(202202,2),", ",2022)</f>
        <v>Period 02, 2022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3">
        <v>44436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str">
        <f>CONCATENATE("Department ","501", " - ", "ID Card Services")</f>
        <v>Department 501 - ID Card Services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90197</v>
      </c>
      <c r="E12" s="4"/>
      <c r="F12" s="12"/>
      <c r="G12" s="4"/>
      <c r="H12" s="4">
        <f>SUM(OSRRefH13x_0)</f>
        <v>66861</v>
      </c>
      <c r="I12" s="4"/>
      <c r="J12" s="12"/>
      <c r="K12" s="4"/>
      <c r="L12" s="4">
        <f t="shared" ref="L12:L13" si="0">+D12-H12</f>
        <v>23336</v>
      </c>
      <c r="M12" s="4"/>
      <c r="N12" s="12">
        <f t="shared" ref="N12:N13" si="1">IF(H12=0,0,L12/H12)</f>
        <v>0.34902259912355482</v>
      </c>
      <c r="O12" s="10"/>
      <c r="P12" s="4">
        <f>SUM(OSRRefP13x_0)</f>
        <v>235852</v>
      </c>
      <c r="Q12" s="4"/>
      <c r="R12" s="12"/>
      <c r="S12" s="4"/>
      <c r="T12" s="4">
        <f>SUM(OSRRefT13x_0)</f>
        <v>87832</v>
      </c>
      <c r="U12" s="4"/>
      <c r="V12" s="12"/>
      <c r="W12" s="4"/>
      <c r="X12" s="4">
        <f t="shared" ref="X12:X13" si="2">+P12-T12</f>
        <v>148020</v>
      </c>
      <c r="Y12" s="4"/>
      <c r="Z12" s="12">
        <f t="shared" ref="Z12:Z13" si="3">IF(T12=0,0,X12/T12)</f>
        <v>1.6852627743874671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--90197</f>
        <v>90197</v>
      </c>
      <c r="E13" s="2"/>
      <c r="F13" s="19"/>
      <c r="G13" s="2"/>
      <c r="H13" s="2">
        <f>--66861</f>
        <v>66861</v>
      </c>
      <c r="I13" s="2"/>
      <c r="J13" s="19"/>
      <c r="K13" s="2"/>
      <c r="L13" s="2">
        <f t="shared" si="0"/>
        <v>23336</v>
      </c>
      <c r="M13" s="2"/>
      <c r="N13" s="19">
        <f t="shared" si="1"/>
        <v>0.34902259912355482</v>
      </c>
      <c r="O13" s="11"/>
      <c r="P13" s="2">
        <f>--235852</f>
        <v>235852</v>
      </c>
      <c r="Q13" s="2"/>
      <c r="R13" s="19"/>
      <c r="S13" s="2"/>
      <c r="T13" s="2">
        <f>--87832</f>
        <v>87832</v>
      </c>
      <c r="U13" s="2"/>
      <c r="V13" s="19"/>
      <c r="W13" s="2"/>
      <c r="X13" s="2">
        <f t="shared" si="2"/>
        <v>148020</v>
      </c>
      <c r="Y13" s="2"/>
      <c r="Z13" s="19">
        <f t="shared" si="3"/>
        <v>1.6852627743874671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6"/>
      <c r="G16" s="3"/>
      <c r="H16" s="3"/>
      <c r="I16" s="3"/>
      <c r="J16" s="6"/>
      <c r="K16" s="3"/>
      <c r="L16" s="3"/>
      <c r="M16" s="3"/>
      <c r="N16" s="6"/>
      <c r="O16" s="10"/>
      <c r="P16" s="3"/>
      <c r="Q16" s="3"/>
      <c r="R16" s="6"/>
      <c r="S16" s="3"/>
      <c r="T16" s="3"/>
      <c r="U16" s="3"/>
      <c r="V16" s="6"/>
      <c r="W16" s="3"/>
      <c r="X16" s="3"/>
      <c r="Y16" s="3"/>
      <c r="Z16" s="6"/>
    </row>
    <row r="17" spans="1:26" s="23" customFormat="1" x14ac:dyDescent="0.3">
      <c r="A17" s="10"/>
      <c r="B17" s="25" t="s">
        <v>107</v>
      </c>
      <c r="C17" s="25"/>
      <c r="D17" s="20">
        <f>D12-D15</f>
        <v>90197</v>
      </c>
      <c r="E17" s="13"/>
      <c r="F17" s="22">
        <f>IF(D$12=0,0,D17/D$12)</f>
        <v>1</v>
      </c>
      <c r="G17" s="13"/>
      <c r="H17" s="20">
        <f>H12-H15</f>
        <v>66861</v>
      </c>
      <c r="I17" s="13"/>
      <c r="J17" s="22">
        <f>IF(H$12=0,0,H17/H$12)</f>
        <v>1</v>
      </c>
      <c r="K17" s="15"/>
      <c r="L17" s="20">
        <f>+D17-H17</f>
        <v>23336</v>
      </c>
      <c r="M17" s="15"/>
      <c r="N17" s="22">
        <f>IF(H17=0,0,L17/H17)</f>
        <v>0.34902259912355482</v>
      </c>
      <c r="O17" s="26"/>
      <c r="P17" s="20">
        <f>P12-P15</f>
        <v>235852</v>
      </c>
      <c r="Q17" s="13"/>
      <c r="R17" s="22">
        <f>IF(P$12=0,0,P17/P$12)</f>
        <v>1</v>
      </c>
      <c r="S17" s="13"/>
      <c r="T17" s="20">
        <f>T12-T15</f>
        <v>87832</v>
      </c>
      <c r="U17" s="13"/>
      <c r="V17" s="22">
        <f>IF(T$12=0,0,T17/T$12)</f>
        <v>1</v>
      </c>
      <c r="W17" s="15"/>
      <c r="X17" s="20">
        <f>+P17-T17</f>
        <v>148020</v>
      </c>
      <c r="Y17" s="15"/>
      <c r="Z17" s="22">
        <f>IF(T17=0,0,X17/T17)</f>
        <v>1.6852627743874671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1">
        <f>SUM(OSRRefD22x_0)</f>
        <v>24361.880000000005</v>
      </c>
      <c r="E19" s="21"/>
      <c r="F19" s="32">
        <f t="shared" ref="F19:F28" si="4">IF(D$12=0,0,D19/D$12)</f>
        <v>0.27009634466778282</v>
      </c>
      <c r="G19" s="21"/>
      <c r="H19" s="21">
        <f>SUM(OSRRefH22x_0)</f>
        <v>57099.96</v>
      </c>
      <c r="I19" s="21"/>
      <c r="J19" s="32">
        <f t="shared" ref="J19:J28" si="5">IF(H$12=0,0,H19/H$12)</f>
        <v>0.85400996096379056</v>
      </c>
      <c r="K19" s="4"/>
      <c r="L19" s="21">
        <f t="shared" ref="L19:L28" si="6">+D19-H19</f>
        <v>-32738.079999999994</v>
      </c>
      <c r="M19" s="4"/>
      <c r="N19" s="32">
        <f t="shared" ref="N19:N28" si="7">IF(H19=0,0,L19/H19)</f>
        <v>-0.57334681145135646</v>
      </c>
      <c r="O19" s="10"/>
      <c r="P19" s="21">
        <f>SUM(OSRRefP22x_0)</f>
        <v>170124.90000000002</v>
      </c>
      <c r="Q19" s="21"/>
      <c r="R19" s="32">
        <f t="shared" ref="R19:R28" si="8">IF(P$12=0,0,P19/P$12)</f>
        <v>0.72132057391923754</v>
      </c>
      <c r="S19" s="21"/>
      <c r="T19" s="21">
        <f>SUM(OSRRefT22x_0)</f>
        <v>78235.819999999992</v>
      </c>
      <c r="U19" s="21"/>
      <c r="V19" s="32">
        <f t="shared" ref="V19:V28" si="9">IF(T$12=0,0,T19/T$12)</f>
        <v>0.89074392021131243</v>
      </c>
      <c r="W19" s="4"/>
      <c r="X19" s="21">
        <f t="shared" ref="X19:X28" si="10">+P19-T19</f>
        <v>91889.080000000031</v>
      </c>
      <c r="Y19" s="4"/>
      <c r="Z19" s="32">
        <f t="shared" ref="Z19:Z28" si="11">IF(T19=0,0,X19/T19)</f>
        <v>1.1745141803332546</v>
      </c>
    </row>
    <row r="20" spans="1:26" s="28" customFormat="1" outlineLevel="1" collapsed="1" x14ac:dyDescent="0.3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3864.37</v>
      </c>
      <c r="E20" s="1"/>
      <c r="F20" s="5">
        <f t="shared" si="4"/>
        <v>4.2843664423428719E-2</v>
      </c>
      <c r="G20" s="1"/>
      <c r="H20" s="1">
        <f>SUM(OSRRefH22_0x_0)</f>
        <v>4075.21</v>
      </c>
      <c r="I20" s="1"/>
      <c r="J20" s="5">
        <f t="shared" si="5"/>
        <v>6.0950479352686916E-2</v>
      </c>
      <c r="K20" s="1"/>
      <c r="L20" s="1">
        <f t="shared" si="6"/>
        <v>-210.84000000000015</v>
      </c>
      <c r="M20" s="1"/>
      <c r="N20" s="5">
        <f t="shared" si="7"/>
        <v>-5.1737211088508359E-2</v>
      </c>
      <c r="O20" s="14"/>
      <c r="P20" s="1">
        <f>SUM(OSRRefP22_0x_0)</f>
        <v>7666.1999999999989</v>
      </c>
      <c r="Q20" s="1"/>
      <c r="R20" s="5">
        <f t="shared" si="8"/>
        <v>3.2504282346556307E-2</v>
      </c>
      <c r="S20" s="1"/>
      <c r="T20" s="1">
        <f>SUM(OSRRefT22_0x_0)</f>
        <v>8283.0300000000007</v>
      </c>
      <c r="U20" s="1"/>
      <c r="V20" s="5">
        <f t="shared" si="9"/>
        <v>9.4305378449767746E-2</v>
      </c>
      <c r="W20" s="1"/>
      <c r="X20" s="1">
        <f t="shared" si="10"/>
        <v>-616.83000000000175</v>
      </c>
      <c r="Y20" s="1"/>
      <c r="Z20" s="5">
        <f t="shared" si="11"/>
        <v>-7.4469125428738236E-2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7">
        <v>1214.71</v>
      </c>
      <c r="E21" s="2"/>
      <c r="F21" s="8">
        <f t="shared" si="4"/>
        <v>1.3467299355854409E-2</v>
      </c>
      <c r="G21" s="2"/>
      <c r="H21" s="7">
        <v>1161.71</v>
      </c>
      <c r="I21" s="2"/>
      <c r="J21" s="8">
        <f t="shared" si="5"/>
        <v>1.7375001869550263E-2</v>
      </c>
      <c r="K21" s="2"/>
      <c r="L21" s="7">
        <f t="shared" si="6"/>
        <v>53</v>
      </c>
      <c r="M21" s="2"/>
      <c r="N21" s="8">
        <f t="shared" si="7"/>
        <v>4.5622401459916848E-2</v>
      </c>
      <c r="O21" s="11"/>
      <c r="P21" s="7">
        <v>2403.0700000000002</v>
      </c>
      <c r="Q21" s="2"/>
      <c r="R21" s="8">
        <f t="shared" si="8"/>
        <v>1.018888964265726E-2</v>
      </c>
      <c r="S21" s="2"/>
      <c r="T21" s="7">
        <v>2168.29</v>
      </c>
      <c r="U21" s="2"/>
      <c r="V21" s="8">
        <f t="shared" si="9"/>
        <v>2.4686788414245379E-2</v>
      </c>
      <c r="W21" s="2"/>
      <c r="X21" s="7">
        <f t="shared" si="10"/>
        <v>234.7800000000002</v>
      </c>
      <c r="Y21" s="2"/>
      <c r="Z21" s="8">
        <f t="shared" si="11"/>
        <v>0.10827887413583985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7">
        <v>180.15</v>
      </c>
      <c r="E22" s="2"/>
      <c r="F22" s="8">
        <f t="shared" si="4"/>
        <v>1.9972948102486778E-3</v>
      </c>
      <c r="G22" s="2"/>
      <c r="H22" s="7">
        <v>84.22</v>
      </c>
      <c r="I22" s="2"/>
      <c r="J22" s="8">
        <f t="shared" si="5"/>
        <v>1.2596281838440945E-3</v>
      </c>
      <c r="K22" s="2"/>
      <c r="L22" s="7">
        <f t="shared" si="6"/>
        <v>95.93</v>
      </c>
      <c r="M22" s="2"/>
      <c r="N22" s="8">
        <f t="shared" si="7"/>
        <v>1.1390406079316078</v>
      </c>
      <c r="O22" s="11"/>
      <c r="P22" s="7">
        <v>338.14</v>
      </c>
      <c r="Q22" s="2"/>
      <c r="R22" s="8">
        <f t="shared" si="8"/>
        <v>1.4336957074775707E-3</v>
      </c>
      <c r="S22" s="2"/>
      <c r="T22" s="7">
        <v>162.09</v>
      </c>
      <c r="U22" s="2"/>
      <c r="V22" s="8">
        <f t="shared" si="9"/>
        <v>1.8454549594680754E-3</v>
      </c>
      <c r="W22" s="2"/>
      <c r="X22" s="7">
        <f t="shared" si="10"/>
        <v>176.04999999999998</v>
      </c>
      <c r="Y22" s="2"/>
      <c r="Z22" s="8">
        <f t="shared" si="11"/>
        <v>1.0861249922882348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8">
        <f t="shared" si="4"/>
        <v>1.1689413173387141E-2</v>
      </c>
      <c r="G23" s="2"/>
      <c r="H23" s="7">
        <v>1230.45</v>
      </c>
      <c r="I23" s="2"/>
      <c r="J23" s="8">
        <f t="shared" si="5"/>
        <v>1.8403104949073452E-2</v>
      </c>
      <c r="K23" s="2"/>
      <c r="L23" s="7">
        <f t="shared" si="6"/>
        <v>-176.10000000000014</v>
      </c>
      <c r="M23" s="2"/>
      <c r="N23" s="8">
        <f t="shared" si="7"/>
        <v>-0.14311837132756319</v>
      </c>
      <c r="O23" s="11"/>
      <c r="P23" s="7">
        <v>2108.6999999999998</v>
      </c>
      <c r="Q23" s="2"/>
      <c r="R23" s="8">
        <f t="shared" si="8"/>
        <v>8.9407764191102891E-3</v>
      </c>
      <c r="S23" s="2"/>
      <c r="T23" s="7">
        <v>2460.9</v>
      </c>
      <c r="U23" s="2"/>
      <c r="V23" s="8">
        <f t="shared" si="9"/>
        <v>2.8018262136806631E-2</v>
      </c>
      <c r="W23" s="2"/>
      <c r="X23" s="7">
        <f t="shared" si="10"/>
        <v>-352.20000000000027</v>
      </c>
      <c r="Y23" s="2"/>
      <c r="Z23" s="8">
        <f t="shared" si="11"/>
        <v>-0.14311837132756319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35.299999999999997</v>
      </c>
      <c r="E24" s="2"/>
      <c r="F24" s="8">
        <f t="shared" si="4"/>
        <v>3.9136556648225549E-4</v>
      </c>
      <c r="G24" s="2"/>
      <c r="H24" s="7">
        <v>39.200000000000003</v>
      </c>
      <c r="I24" s="2"/>
      <c r="J24" s="8">
        <f t="shared" si="5"/>
        <v>5.8629096184621829E-4</v>
      </c>
      <c r="K24" s="2"/>
      <c r="L24" s="7">
        <f t="shared" si="6"/>
        <v>-3.9000000000000057</v>
      </c>
      <c r="M24" s="2"/>
      <c r="N24" s="8">
        <f t="shared" si="7"/>
        <v>-9.9489795918367485E-2</v>
      </c>
      <c r="O24" s="11"/>
      <c r="P24" s="7">
        <v>66.64</v>
      </c>
      <c r="Q24" s="2"/>
      <c r="R24" s="8">
        <f t="shared" si="8"/>
        <v>2.8255007377507926E-4</v>
      </c>
      <c r="S24" s="2"/>
      <c r="T24" s="7">
        <v>73.400000000000006</v>
      </c>
      <c r="U24" s="2"/>
      <c r="V24" s="8">
        <f t="shared" si="9"/>
        <v>8.3568631022861838E-4</v>
      </c>
      <c r="W24" s="2"/>
      <c r="X24" s="7">
        <f t="shared" si="10"/>
        <v>-6.7600000000000051</v>
      </c>
      <c r="Y24" s="2"/>
      <c r="Z24" s="8">
        <f t="shared" si="11"/>
        <v>-9.209809264305184E-2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8">
        <f t="shared" si="4"/>
        <v>6.503320509551316E-3</v>
      </c>
      <c r="G25" s="2"/>
      <c r="H25" s="7">
        <v>640.35</v>
      </c>
      <c r="I25" s="2"/>
      <c r="J25" s="8">
        <f t="shared" si="5"/>
        <v>9.5773320769955584E-3</v>
      </c>
      <c r="K25" s="2"/>
      <c r="L25" s="7">
        <f t="shared" si="6"/>
        <v>-53.769999999999982</v>
      </c>
      <c r="M25" s="2"/>
      <c r="N25" s="8">
        <f t="shared" si="7"/>
        <v>-8.3969704068087736E-2</v>
      </c>
      <c r="O25" s="11"/>
      <c r="P25" s="7">
        <v>1173.1600000000001</v>
      </c>
      <c r="Q25" s="2"/>
      <c r="R25" s="8">
        <f t="shared" si="8"/>
        <v>4.9741363227786923E-3</v>
      </c>
      <c r="S25" s="2"/>
      <c r="T25" s="7">
        <v>1579.79</v>
      </c>
      <c r="U25" s="2"/>
      <c r="V25" s="8">
        <f t="shared" si="9"/>
        <v>1.7986496948720284E-2</v>
      </c>
      <c r="W25" s="2"/>
      <c r="X25" s="7">
        <f t="shared" si="10"/>
        <v>-406.62999999999988</v>
      </c>
      <c r="Y25" s="2"/>
      <c r="Z25" s="8">
        <f t="shared" si="11"/>
        <v>-0.25739497021756047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7">
        <v>112.61</v>
      </c>
      <c r="E26" s="2"/>
      <c r="F26" s="8">
        <f t="shared" si="4"/>
        <v>1.2484894176081245E-3</v>
      </c>
      <c r="G26" s="2"/>
      <c r="H26" s="7">
        <v>100</v>
      </c>
      <c r="I26" s="2"/>
      <c r="J26" s="8">
        <f t="shared" si="5"/>
        <v>1.4956402087913732E-3</v>
      </c>
      <c r="K26" s="2"/>
      <c r="L26" s="7">
        <f t="shared" si="6"/>
        <v>12.61</v>
      </c>
      <c r="M26" s="2"/>
      <c r="N26" s="8">
        <f t="shared" si="7"/>
        <v>0.12609999999999999</v>
      </c>
      <c r="O26" s="11"/>
      <c r="P26" s="7">
        <v>215.15</v>
      </c>
      <c r="Q26" s="2"/>
      <c r="R26" s="8">
        <f t="shared" si="8"/>
        <v>9.122246154367994E-4</v>
      </c>
      <c r="S26" s="2"/>
      <c r="T26" s="7">
        <v>200</v>
      </c>
      <c r="U26" s="2"/>
      <c r="V26" s="8">
        <f t="shared" si="9"/>
        <v>2.2770744147918754E-3</v>
      </c>
      <c r="W26" s="2"/>
      <c r="X26" s="7">
        <f t="shared" si="10"/>
        <v>15.150000000000006</v>
      </c>
      <c r="Y26" s="2"/>
      <c r="Z26" s="8">
        <f t="shared" si="11"/>
        <v>7.5750000000000026E-2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7">
        <v>413.76</v>
      </c>
      <c r="E27" s="2"/>
      <c r="F27" s="8">
        <f t="shared" si="4"/>
        <v>4.5872922602747321E-3</v>
      </c>
      <c r="G27" s="2"/>
      <c r="H27" s="7">
        <v>520.02</v>
      </c>
      <c r="I27" s="2"/>
      <c r="J27" s="8">
        <f t="shared" si="5"/>
        <v>7.7776282137568984E-3</v>
      </c>
      <c r="K27" s="2"/>
      <c r="L27" s="7">
        <f t="shared" si="6"/>
        <v>-106.25999999999999</v>
      </c>
      <c r="M27" s="2"/>
      <c r="N27" s="8">
        <f t="shared" si="7"/>
        <v>-0.20433829468097381</v>
      </c>
      <c r="O27" s="11"/>
      <c r="P27" s="7">
        <v>827.52</v>
      </c>
      <c r="Q27" s="2"/>
      <c r="R27" s="8">
        <f t="shared" si="8"/>
        <v>3.5086410121601681E-3</v>
      </c>
      <c r="S27" s="2"/>
      <c r="T27" s="7">
        <v>1040.04</v>
      </c>
      <c r="U27" s="2"/>
      <c r="V27" s="8">
        <f t="shared" si="9"/>
        <v>1.184124237180071E-2</v>
      </c>
      <c r="W27" s="2"/>
      <c r="X27" s="7">
        <f t="shared" si="10"/>
        <v>-212.51999999999998</v>
      </c>
      <c r="Y27" s="2"/>
      <c r="Z27" s="8">
        <f t="shared" si="11"/>
        <v>-0.20433829468097381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7">
        <v>266.91000000000003</v>
      </c>
      <c r="E28" s="2"/>
      <c r="F28" s="8">
        <f t="shared" si="4"/>
        <v>2.9591893300220632E-3</v>
      </c>
      <c r="G28" s="2"/>
      <c r="H28" s="7">
        <v>299.26</v>
      </c>
      <c r="I28" s="2"/>
      <c r="J28" s="8">
        <f t="shared" si="5"/>
        <v>4.4758528888290631E-3</v>
      </c>
      <c r="K28" s="2"/>
      <c r="L28" s="7">
        <f t="shared" si="6"/>
        <v>-32.349999999999966</v>
      </c>
      <c r="M28" s="2"/>
      <c r="N28" s="8">
        <f t="shared" si="7"/>
        <v>-0.10809997995054457</v>
      </c>
      <c r="O28" s="11"/>
      <c r="P28" s="7">
        <v>533.82000000000005</v>
      </c>
      <c r="Q28" s="2"/>
      <c r="R28" s="8">
        <f t="shared" si="8"/>
        <v>2.2633685531604567E-3</v>
      </c>
      <c r="S28" s="2"/>
      <c r="T28" s="7">
        <v>598.52</v>
      </c>
      <c r="U28" s="2"/>
      <c r="V28" s="8">
        <f t="shared" si="9"/>
        <v>6.8143728937061663E-3</v>
      </c>
      <c r="W28" s="2"/>
      <c r="X28" s="7">
        <f t="shared" si="10"/>
        <v>-64.699999999999932</v>
      </c>
      <c r="Y28" s="2"/>
      <c r="Z28" s="8">
        <f t="shared" si="11"/>
        <v>-0.10809997995054457</v>
      </c>
    </row>
    <row r="29" spans="1:26" s="28" customFormat="1" outlineLevel="1" collapsed="1" x14ac:dyDescent="0.3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17485.11</v>
      </c>
      <c r="E29" s="1"/>
      <c r="F29" s="5">
        <f t="shared" ref="F29:F34" si="12">IF(D$12=0,0,D29/D$12)</f>
        <v>0.19385467365876916</v>
      </c>
      <c r="G29" s="1"/>
      <c r="H29" s="1">
        <f>SUM(OSRRefH22_1x_0)</f>
        <v>16843.640000000003</v>
      </c>
      <c r="I29" s="1"/>
      <c r="J29" s="5">
        <f t="shared" ref="J29:J34" si="13">IF(H$12=0,0,H29/H$12)</f>
        <v>0.2519202524640673</v>
      </c>
      <c r="K29" s="1"/>
      <c r="L29" s="1">
        <f t="shared" ref="L29:L34" si="14">+D29-H29</f>
        <v>641.46999999999753</v>
      </c>
      <c r="M29" s="1"/>
      <c r="N29" s="5">
        <f t="shared" ref="N29:N34" si="15">IF(H29=0,0,L29/H29)</f>
        <v>3.8083810862734976E-2</v>
      </c>
      <c r="O29" s="14"/>
      <c r="P29" s="1">
        <f>SUM(OSRRefP22_1x_0)</f>
        <v>36455.67</v>
      </c>
      <c r="Q29" s="1"/>
      <c r="R29" s="5">
        <f t="shared" ref="R29:R34" si="16">IF(P$12=0,0,P29/P$12)</f>
        <v>0.15457011176500515</v>
      </c>
      <c r="S29" s="1"/>
      <c r="T29" s="1">
        <f>SUM(OSRRefT22_1x_0)</f>
        <v>32448.820000000003</v>
      </c>
      <c r="U29" s="1"/>
      <c r="V29" s="5">
        <f t="shared" ref="V29:V34" si="17">IF(T$12=0,0,T29/T$12)</f>
        <v>0.36944188906093456</v>
      </c>
      <c r="W29" s="1"/>
      <c r="X29" s="1">
        <f t="shared" ref="X29:X34" si="18">+P29-T29</f>
        <v>4006.8499999999949</v>
      </c>
      <c r="Y29" s="1"/>
      <c r="Z29" s="5">
        <f t="shared" ref="Z29:Z34" si="19">IF(T29=0,0,X29/T29)</f>
        <v>0.12348214819521926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7">
        <v>4479.1000000000004</v>
      </c>
      <c r="E30" s="2"/>
      <c r="F30" s="8">
        <f t="shared" si="12"/>
        <v>4.9659079570273962E-2</v>
      </c>
      <c r="G30" s="2"/>
      <c r="H30" s="7">
        <v>4205.72</v>
      </c>
      <c r="I30" s="2"/>
      <c r="J30" s="8">
        <f t="shared" si="13"/>
        <v>6.2902439389180539E-2</v>
      </c>
      <c r="K30" s="2"/>
      <c r="L30" s="7">
        <f t="shared" si="14"/>
        <v>273.38000000000011</v>
      </c>
      <c r="M30" s="2"/>
      <c r="N30" s="8">
        <f t="shared" si="15"/>
        <v>6.500194972561181E-2</v>
      </c>
      <c r="O30" s="11"/>
      <c r="P30" s="7">
        <v>10078.200000000001</v>
      </c>
      <c r="Q30" s="2"/>
      <c r="R30" s="8">
        <f t="shared" si="16"/>
        <v>4.2731034716686739E-2</v>
      </c>
      <c r="S30" s="2"/>
      <c r="T30" s="7">
        <v>9463.44</v>
      </c>
      <c r="U30" s="2"/>
      <c r="V30" s="8">
        <f t="shared" si="17"/>
        <v>0.10774478549959013</v>
      </c>
      <c r="W30" s="2"/>
      <c r="X30" s="7">
        <f t="shared" si="18"/>
        <v>614.76000000000022</v>
      </c>
      <c r="Y30" s="2"/>
      <c r="Z30" s="8">
        <f t="shared" si="19"/>
        <v>6.4961578453501076E-2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7">
        <v>1634.68</v>
      </c>
      <c r="E31" s="2"/>
      <c r="F31" s="8">
        <f t="shared" si="12"/>
        <v>1.8123440912668938E-2</v>
      </c>
      <c r="G31" s="2"/>
      <c r="H31" s="7">
        <v>2625.07</v>
      </c>
      <c r="I31" s="2"/>
      <c r="J31" s="8">
        <f t="shared" si="13"/>
        <v>3.9261602428919705E-2</v>
      </c>
      <c r="K31" s="2"/>
      <c r="L31" s="7">
        <f t="shared" si="14"/>
        <v>-990.3900000000001</v>
      </c>
      <c r="M31" s="2"/>
      <c r="N31" s="8">
        <f t="shared" si="15"/>
        <v>-0.37728136773495563</v>
      </c>
      <c r="O31" s="11"/>
      <c r="P31" s="7">
        <v>6748.3</v>
      </c>
      <c r="Q31" s="2"/>
      <c r="R31" s="8">
        <f t="shared" si="16"/>
        <v>2.861243491681224E-2</v>
      </c>
      <c r="S31" s="2"/>
      <c r="T31" s="7">
        <v>4679.1400000000003</v>
      </c>
      <c r="U31" s="2"/>
      <c r="V31" s="8">
        <f t="shared" si="17"/>
        <v>5.3273749886146284E-2</v>
      </c>
      <c r="W31" s="2"/>
      <c r="X31" s="7">
        <f t="shared" si="18"/>
        <v>2069.16</v>
      </c>
      <c r="Y31" s="2"/>
      <c r="Z31" s="8">
        <f t="shared" si="19"/>
        <v>0.44220946584201365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7">
        <v>2322.4</v>
      </c>
      <c r="E32" s="2"/>
      <c r="F32" s="8">
        <f t="shared" si="12"/>
        <v>2.574808474782975E-2</v>
      </c>
      <c r="G32" s="2"/>
      <c r="H32" s="7"/>
      <c r="I32" s="2"/>
      <c r="J32" s="8">
        <f t="shared" si="13"/>
        <v>0</v>
      </c>
      <c r="K32" s="2"/>
      <c r="L32" s="7">
        <f t="shared" si="14"/>
        <v>2322.4</v>
      </c>
      <c r="M32" s="2"/>
      <c r="N32" s="8">
        <f t="shared" si="15"/>
        <v>0</v>
      </c>
      <c r="O32" s="11"/>
      <c r="P32" s="7">
        <v>2322.4</v>
      </c>
      <c r="Q32" s="2"/>
      <c r="R32" s="8">
        <f t="shared" si="16"/>
        <v>9.8468531112731721E-3</v>
      </c>
      <c r="S32" s="2"/>
      <c r="T32" s="7"/>
      <c r="U32" s="2"/>
      <c r="V32" s="8">
        <f t="shared" si="17"/>
        <v>0</v>
      </c>
      <c r="W32" s="2"/>
      <c r="X32" s="7">
        <f t="shared" si="18"/>
        <v>2322.4</v>
      </c>
      <c r="Y32" s="2"/>
      <c r="Z32" s="8">
        <f t="shared" si="19"/>
        <v>0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7">
        <v>7230.43</v>
      </c>
      <c r="E33" s="2"/>
      <c r="F33" s="8">
        <f t="shared" si="12"/>
        <v>8.016264399037662E-2</v>
      </c>
      <c r="G33" s="2"/>
      <c r="H33" s="7">
        <v>7904.97</v>
      </c>
      <c r="I33" s="2"/>
      <c r="J33" s="8">
        <f t="shared" si="13"/>
        <v>0.11822990981289541</v>
      </c>
      <c r="K33" s="2"/>
      <c r="L33" s="7">
        <f t="shared" si="14"/>
        <v>-674.54</v>
      </c>
      <c r="M33" s="2"/>
      <c r="N33" s="8">
        <f t="shared" si="15"/>
        <v>-8.5331127126352144E-2</v>
      </c>
      <c r="O33" s="11"/>
      <c r="P33" s="7">
        <v>13410.07</v>
      </c>
      <c r="Q33" s="2"/>
      <c r="R33" s="8">
        <f t="shared" si="16"/>
        <v>5.6857987212319591E-2</v>
      </c>
      <c r="S33" s="2"/>
      <c r="T33" s="7">
        <v>14642.36</v>
      </c>
      <c r="U33" s="2"/>
      <c r="V33" s="8">
        <f t="shared" si="17"/>
        <v>0.16670871664085982</v>
      </c>
      <c r="W33" s="2"/>
      <c r="X33" s="7">
        <f t="shared" si="18"/>
        <v>-1232.2900000000009</v>
      </c>
      <c r="Y33" s="2"/>
      <c r="Z33" s="8">
        <f t="shared" si="19"/>
        <v>-8.4159247552990146E-2</v>
      </c>
    </row>
    <row r="34" spans="1:26" s="24" customFormat="1" hidden="1" outlineLevel="2" x14ac:dyDescent="0.3">
      <c r="A34" s="27"/>
      <c r="B34" s="11" t="str">
        <f>CONCATENATE("          ", "6007", " - ", "STUDENT HOURLY")</f>
        <v xml:space="preserve">          6007 - STUDENT HOURLY</v>
      </c>
      <c r="C34" s="11"/>
      <c r="D34" s="7">
        <v>1818.5</v>
      </c>
      <c r="E34" s="2"/>
      <c r="F34" s="8">
        <f t="shared" si="12"/>
        <v>2.0161424437619875E-2</v>
      </c>
      <c r="G34" s="2"/>
      <c r="H34" s="7">
        <v>2107.88</v>
      </c>
      <c r="I34" s="2"/>
      <c r="J34" s="8">
        <f t="shared" si="13"/>
        <v>3.1526300833071598E-2</v>
      </c>
      <c r="K34" s="2"/>
      <c r="L34" s="7">
        <f t="shared" si="14"/>
        <v>-289.38000000000011</v>
      </c>
      <c r="M34" s="2"/>
      <c r="N34" s="8">
        <f t="shared" si="15"/>
        <v>-0.13728485492532785</v>
      </c>
      <c r="O34" s="11"/>
      <c r="P34" s="7">
        <v>3896.7</v>
      </c>
      <c r="Q34" s="2"/>
      <c r="R34" s="8">
        <f t="shared" si="16"/>
        <v>1.6521801807913437E-2</v>
      </c>
      <c r="S34" s="2"/>
      <c r="T34" s="7">
        <v>3663.88</v>
      </c>
      <c r="U34" s="2"/>
      <c r="V34" s="8">
        <f t="shared" si="17"/>
        <v>4.1714637034338281E-2</v>
      </c>
      <c r="W34" s="2"/>
      <c r="X34" s="7">
        <f t="shared" si="18"/>
        <v>232.81999999999971</v>
      </c>
      <c r="Y34" s="2"/>
      <c r="Z34" s="8">
        <f t="shared" si="19"/>
        <v>6.3544657576121405E-2</v>
      </c>
    </row>
    <row r="35" spans="1:26" s="28" customFormat="1" outlineLevel="1" collapsed="1" x14ac:dyDescent="0.3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17.64</v>
      </c>
      <c r="E35" s="1"/>
      <c r="F35" s="5">
        <f t="shared" ref="F35:F50" si="20">IF(D$12=0,0,D35/D$12)</f>
        <v>1.9557191480869653E-4</v>
      </c>
      <c r="G35" s="1"/>
      <c r="H35" s="1">
        <f>SUM(OSRRefH22_2x_0)</f>
        <v>0</v>
      </c>
      <c r="I35" s="1"/>
      <c r="J35" s="5">
        <f t="shared" ref="J35:J50" si="21">IF(H$12=0,0,H35/H$12)</f>
        <v>0</v>
      </c>
      <c r="K35" s="1"/>
      <c r="L35" s="1">
        <f t="shared" ref="L35:L50" si="22">+D35-H35</f>
        <v>17.64</v>
      </c>
      <c r="M35" s="1"/>
      <c r="N35" s="5">
        <f t="shared" ref="N35:N50" si="23">IF(H35=0,0,L35/H35)</f>
        <v>0</v>
      </c>
      <c r="O35" s="14"/>
      <c r="P35" s="1">
        <f>SUM(OSRRefP22_2x_0)</f>
        <v>17.64</v>
      </c>
      <c r="Q35" s="1"/>
      <c r="R35" s="5">
        <f t="shared" ref="R35:R50" si="24">IF(P$12=0,0,P35/P$12)</f>
        <v>7.4792666587520992E-5</v>
      </c>
      <c r="S35" s="1"/>
      <c r="T35" s="1">
        <f>SUM(OSRRefT22_2x_0)</f>
        <v>0</v>
      </c>
      <c r="U35" s="1"/>
      <c r="V35" s="5">
        <f t="shared" ref="V35:V50" si="25">IF(T$12=0,0,T35/T$12)</f>
        <v>0</v>
      </c>
      <c r="W35" s="1"/>
      <c r="X35" s="1">
        <f t="shared" ref="X35:X50" si="26">+P35-T35</f>
        <v>17.64</v>
      </c>
      <c r="Y35" s="1"/>
      <c r="Z35" s="5">
        <f t="shared" ref="Z35:Z50" si="27">IF(T35=0,0,X35/T35)</f>
        <v>0</v>
      </c>
    </row>
    <row r="36" spans="1:26" s="24" customFormat="1" hidden="1" outlineLevel="2" x14ac:dyDescent="0.3">
      <c r="A36" s="27"/>
      <c r="B36" s="11" t="str">
        <f>CONCATENATE("          ", "6362", " - ", "ADVERTISING EXPENSE")</f>
        <v xml:space="preserve">          6362 - ADVERTISING EXPENSE</v>
      </c>
      <c r="C36" s="11"/>
      <c r="D36" s="7">
        <v>17.64</v>
      </c>
      <c r="E36" s="2"/>
      <c r="F36" s="8">
        <f t="shared" si="20"/>
        <v>1.9557191480869653E-4</v>
      </c>
      <c r="G36" s="2"/>
      <c r="H36" s="7"/>
      <c r="I36" s="2"/>
      <c r="J36" s="8">
        <f t="shared" si="21"/>
        <v>0</v>
      </c>
      <c r="K36" s="2"/>
      <c r="L36" s="7">
        <f t="shared" si="22"/>
        <v>17.64</v>
      </c>
      <c r="M36" s="2"/>
      <c r="N36" s="8">
        <f t="shared" si="23"/>
        <v>0</v>
      </c>
      <c r="O36" s="11"/>
      <c r="P36" s="7">
        <v>17.64</v>
      </c>
      <c r="Q36" s="2"/>
      <c r="R36" s="8">
        <f t="shared" si="24"/>
        <v>7.4792666587520992E-5</v>
      </c>
      <c r="S36" s="2"/>
      <c r="T36" s="7"/>
      <c r="U36" s="2"/>
      <c r="V36" s="8">
        <f t="shared" si="25"/>
        <v>0</v>
      </c>
      <c r="W36" s="2"/>
      <c r="X36" s="7">
        <f t="shared" si="26"/>
        <v>17.64</v>
      </c>
      <c r="Y36" s="2"/>
      <c r="Z36" s="8">
        <f t="shared" si="27"/>
        <v>0</v>
      </c>
    </row>
    <row r="37" spans="1:26" s="28" customFormat="1" outlineLevel="1" collapsed="1" x14ac:dyDescent="0.3">
      <c r="A37" s="29"/>
      <c r="B37" s="14" t="str">
        <f>CONCATENATE("     ","Bank/card Fees                                    ")</f>
        <v xml:space="preserve">     Bank/card Fees                                    </v>
      </c>
      <c r="C37" s="14"/>
      <c r="D37" s="1">
        <f>SUM(OSRRefD22_3x_0)</f>
        <v>467.14</v>
      </c>
      <c r="E37" s="1"/>
      <c r="F37" s="5">
        <f t="shared" si="20"/>
        <v>5.179107952592658E-3</v>
      </c>
      <c r="G37" s="1"/>
      <c r="H37" s="1">
        <f>SUM(OSRRefH22_3x_0)</f>
        <v>124.1</v>
      </c>
      <c r="I37" s="1"/>
      <c r="J37" s="5">
        <f t="shared" si="21"/>
        <v>1.856089499110094E-3</v>
      </c>
      <c r="K37" s="1"/>
      <c r="L37" s="1">
        <f t="shared" si="22"/>
        <v>343.03999999999996</v>
      </c>
      <c r="M37" s="1"/>
      <c r="N37" s="5">
        <f t="shared" si="23"/>
        <v>2.7642224012892829</v>
      </c>
      <c r="O37" s="14"/>
      <c r="P37" s="1">
        <f>SUM(OSRRefP22_3x_0)</f>
        <v>511.26</v>
      </c>
      <c r="Q37" s="1"/>
      <c r="R37" s="5">
        <f t="shared" si="24"/>
        <v>2.1677153469124703E-3</v>
      </c>
      <c r="S37" s="1"/>
      <c r="T37" s="1">
        <f>SUM(OSRRefT22_3x_0)</f>
        <v>370.43</v>
      </c>
      <c r="U37" s="1"/>
      <c r="V37" s="5">
        <f t="shared" si="25"/>
        <v>4.2174833773567719E-3</v>
      </c>
      <c r="W37" s="1"/>
      <c r="X37" s="1">
        <f t="shared" si="26"/>
        <v>140.82999999999998</v>
      </c>
      <c r="Y37" s="1"/>
      <c r="Z37" s="5">
        <f t="shared" si="27"/>
        <v>0.3801797910536403</v>
      </c>
    </row>
    <row r="38" spans="1:26" s="24" customFormat="1" hidden="1" outlineLevel="2" x14ac:dyDescent="0.3">
      <c r="A38" s="27"/>
      <c r="B38" s="11" t="str">
        <f>CONCATENATE("          ", "6381", " - ", "BANK/CREDIT CARD FEES")</f>
        <v xml:space="preserve">          6381 - BANK/CREDIT CARD FEES</v>
      </c>
      <c r="C38" s="11"/>
      <c r="D38" s="7">
        <v>467.14</v>
      </c>
      <c r="E38" s="2"/>
      <c r="F38" s="8">
        <f t="shared" si="20"/>
        <v>5.179107952592658E-3</v>
      </c>
      <c r="G38" s="2"/>
      <c r="H38" s="7">
        <v>124.1</v>
      </c>
      <c r="I38" s="2"/>
      <c r="J38" s="8">
        <f t="shared" si="21"/>
        <v>1.856089499110094E-3</v>
      </c>
      <c r="K38" s="2"/>
      <c r="L38" s="7">
        <f t="shared" si="22"/>
        <v>343.03999999999996</v>
      </c>
      <c r="M38" s="2"/>
      <c r="N38" s="8">
        <f t="shared" si="23"/>
        <v>2.7642224012892829</v>
      </c>
      <c r="O38" s="11"/>
      <c r="P38" s="7">
        <v>511.26</v>
      </c>
      <c r="Q38" s="2"/>
      <c r="R38" s="8">
        <f t="shared" si="24"/>
        <v>2.1677153469124703E-3</v>
      </c>
      <c r="S38" s="2"/>
      <c r="T38" s="7">
        <v>370.43</v>
      </c>
      <c r="U38" s="2"/>
      <c r="V38" s="8">
        <f t="shared" si="25"/>
        <v>4.2174833773567719E-3</v>
      </c>
      <c r="W38" s="2"/>
      <c r="X38" s="7">
        <f t="shared" si="26"/>
        <v>140.82999999999998</v>
      </c>
      <c r="Y38" s="2"/>
      <c r="Z38" s="8">
        <f t="shared" si="27"/>
        <v>0.3801797910536403</v>
      </c>
    </row>
    <row r="39" spans="1:26" s="28" customFormat="1" outlineLevel="1" collapsed="1" x14ac:dyDescent="0.3">
      <c r="A39" s="29"/>
      <c r="B39" s="14" t="str">
        <f>CONCATENATE("     ","Freight out/Postage                               ")</f>
        <v xml:space="preserve">     Freight out/Postage                               </v>
      </c>
      <c r="C39" s="14"/>
      <c r="D39" s="1">
        <f>SUM(OSRRefD22_4x_0)</f>
        <v>0</v>
      </c>
      <c r="E39" s="1"/>
      <c r="F39" s="5">
        <f t="shared" si="20"/>
        <v>0</v>
      </c>
      <c r="G39" s="1"/>
      <c r="H39" s="1">
        <f>SUM(OSRRefH22_4x_0)</f>
        <v>0.28999999999999998</v>
      </c>
      <c r="I39" s="1"/>
      <c r="J39" s="5">
        <f t="shared" si="21"/>
        <v>4.3373566054949817E-6</v>
      </c>
      <c r="K39" s="1"/>
      <c r="L39" s="1">
        <f t="shared" si="22"/>
        <v>-0.28999999999999998</v>
      </c>
      <c r="M39" s="1"/>
      <c r="N39" s="5">
        <f t="shared" si="23"/>
        <v>-1</v>
      </c>
      <c r="O39" s="14"/>
      <c r="P39" s="1">
        <f>SUM(OSRRefP22_4x_0)</f>
        <v>0</v>
      </c>
      <c r="Q39" s="1"/>
      <c r="R39" s="5">
        <f t="shared" si="24"/>
        <v>0</v>
      </c>
      <c r="S39" s="1"/>
      <c r="T39" s="1">
        <f>SUM(OSRRefT22_4x_0)</f>
        <v>0.28999999999999998</v>
      </c>
      <c r="U39" s="1"/>
      <c r="V39" s="5">
        <f t="shared" si="25"/>
        <v>3.3017579014482193E-6</v>
      </c>
      <c r="W39" s="1"/>
      <c r="X39" s="1">
        <f t="shared" si="26"/>
        <v>-0.28999999999999998</v>
      </c>
      <c r="Y39" s="1"/>
      <c r="Z39" s="5">
        <f t="shared" si="27"/>
        <v>-1</v>
      </c>
    </row>
    <row r="40" spans="1:26" s="24" customFormat="1" hidden="1" outlineLevel="2" x14ac:dyDescent="0.3">
      <c r="A40" s="27"/>
      <c r="B40" s="11" t="str">
        <f>CONCATENATE("          ", "6305", " - ", "FREIGHT OUT")</f>
        <v xml:space="preserve">          6305 - FREIGHT OUT</v>
      </c>
      <c r="C40" s="11"/>
      <c r="D40" s="7"/>
      <c r="E40" s="2"/>
      <c r="F40" s="8">
        <f t="shared" si="20"/>
        <v>0</v>
      </c>
      <c r="G40" s="2"/>
      <c r="H40" s="7">
        <v>0.28999999999999998</v>
      </c>
      <c r="I40" s="2"/>
      <c r="J40" s="8">
        <f t="shared" si="21"/>
        <v>4.3373566054949817E-6</v>
      </c>
      <c r="K40" s="2"/>
      <c r="L40" s="7">
        <f t="shared" si="22"/>
        <v>-0.28999999999999998</v>
      </c>
      <c r="M40" s="2"/>
      <c r="N40" s="8">
        <f t="shared" si="23"/>
        <v>-1</v>
      </c>
      <c r="O40" s="11"/>
      <c r="P40" s="7"/>
      <c r="Q40" s="2"/>
      <c r="R40" s="8">
        <f t="shared" si="24"/>
        <v>0</v>
      </c>
      <c r="S40" s="2"/>
      <c r="T40" s="7">
        <v>0.28999999999999998</v>
      </c>
      <c r="U40" s="2"/>
      <c r="V40" s="8">
        <f t="shared" si="25"/>
        <v>3.3017579014482193E-6</v>
      </c>
      <c r="W40" s="2"/>
      <c r="X40" s="7">
        <f t="shared" si="26"/>
        <v>-0.28999999999999998</v>
      </c>
      <c r="Y40" s="2"/>
      <c r="Z40" s="8">
        <f t="shared" si="27"/>
        <v>-1</v>
      </c>
    </row>
    <row r="41" spans="1:26" s="28" customFormat="1" outlineLevel="1" collapsed="1" x14ac:dyDescent="0.3">
      <c r="A41" s="29"/>
      <c r="B41" s="14" t="str">
        <f>CONCATENATE("     ","Insurance                                         ")</f>
        <v xml:space="preserve">     Insurance                                         </v>
      </c>
      <c r="C41" s="14"/>
      <c r="D41" s="1">
        <f>SUM(OSRRefD22_5x_0)</f>
        <v>39.43</v>
      </c>
      <c r="E41" s="1"/>
      <c r="F41" s="5">
        <f t="shared" si="20"/>
        <v>4.3715422907635509E-4</v>
      </c>
      <c r="G41" s="1"/>
      <c r="H41" s="1">
        <f>SUM(OSRRefH22_5x_0)</f>
        <v>29.01</v>
      </c>
      <c r="I41" s="1"/>
      <c r="J41" s="5">
        <f t="shared" si="21"/>
        <v>4.3388522457037739E-4</v>
      </c>
      <c r="K41" s="1"/>
      <c r="L41" s="1">
        <f t="shared" si="22"/>
        <v>10.419999999999998</v>
      </c>
      <c r="M41" s="1"/>
      <c r="N41" s="5">
        <f t="shared" si="23"/>
        <v>0.35918648741813158</v>
      </c>
      <c r="O41" s="14"/>
      <c r="P41" s="1">
        <f>SUM(OSRRefP22_5x_0)</f>
        <v>78.86</v>
      </c>
      <c r="Q41" s="1"/>
      <c r="R41" s="5">
        <f t="shared" si="24"/>
        <v>3.3436222715940505E-4</v>
      </c>
      <c r="S41" s="1"/>
      <c r="T41" s="1">
        <f>SUM(OSRRefT22_5x_0)</f>
        <v>58.02</v>
      </c>
      <c r="U41" s="1"/>
      <c r="V41" s="5">
        <f t="shared" si="25"/>
        <v>6.6057928773112311E-4</v>
      </c>
      <c r="W41" s="1"/>
      <c r="X41" s="1">
        <f t="shared" si="26"/>
        <v>20.839999999999996</v>
      </c>
      <c r="Y41" s="1"/>
      <c r="Z41" s="5">
        <f t="shared" si="27"/>
        <v>0.35918648741813158</v>
      </c>
    </row>
    <row r="42" spans="1:26" s="24" customFormat="1" hidden="1" outlineLevel="2" x14ac:dyDescent="0.3">
      <c r="A42" s="27"/>
      <c r="B42" s="11" t="str">
        <f>CONCATENATE("          ", "6314", " - ", "LIABILITY INSURANCE")</f>
        <v xml:space="preserve">          6314 - LIABILITY INSURANCE</v>
      </c>
      <c r="C42" s="11"/>
      <c r="D42" s="7">
        <v>39.43</v>
      </c>
      <c r="E42" s="2"/>
      <c r="F42" s="8">
        <f t="shared" si="20"/>
        <v>4.3715422907635509E-4</v>
      </c>
      <c r="G42" s="2"/>
      <c r="H42" s="7">
        <v>29.01</v>
      </c>
      <c r="I42" s="2"/>
      <c r="J42" s="8">
        <f t="shared" si="21"/>
        <v>4.3388522457037739E-4</v>
      </c>
      <c r="K42" s="2"/>
      <c r="L42" s="7">
        <f t="shared" si="22"/>
        <v>10.419999999999998</v>
      </c>
      <c r="M42" s="2"/>
      <c r="N42" s="8">
        <f t="shared" si="23"/>
        <v>0.35918648741813158</v>
      </c>
      <c r="O42" s="11"/>
      <c r="P42" s="7">
        <v>78.86</v>
      </c>
      <c r="Q42" s="2"/>
      <c r="R42" s="8">
        <f t="shared" si="24"/>
        <v>3.3436222715940505E-4</v>
      </c>
      <c r="S42" s="2"/>
      <c r="T42" s="7">
        <v>58.02</v>
      </c>
      <c r="U42" s="2"/>
      <c r="V42" s="8">
        <f t="shared" si="25"/>
        <v>6.6057928773112311E-4</v>
      </c>
      <c r="W42" s="2"/>
      <c r="X42" s="7">
        <f t="shared" si="26"/>
        <v>20.839999999999996</v>
      </c>
      <c r="Y42" s="2"/>
      <c r="Z42" s="8">
        <f t="shared" si="27"/>
        <v>0.35918648741813158</v>
      </c>
    </row>
    <row r="43" spans="1:26" s="28" customFormat="1" outlineLevel="1" collapsed="1" x14ac:dyDescent="0.3">
      <c r="A43" s="29"/>
      <c r="B43" s="14" t="str">
        <f>CONCATENATE("     ","Rent                                              ")</f>
        <v xml:space="preserve">     Rent                                              </v>
      </c>
      <c r="C43" s="14"/>
      <c r="D43" s="1">
        <f>SUM(OSRRefD22_6x_0)</f>
        <v>800</v>
      </c>
      <c r="E43" s="1"/>
      <c r="F43" s="5">
        <f t="shared" si="20"/>
        <v>8.8694745944987077E-3</v>
      </c>
      <c r="G43" s="1"/>
      <c r="H43" s="1">
        <f>SUM(OSRRefH22_6x_0)</f>
        <v>800</v>
      </c>
      <c r="I43" s="1"/>
      <c r="J43" s="5">
        <f t="shared" si="21"/>
        <v>1.1965121670330986E-2</v>
      </c>
      <c r="K43" s="1"/>
      <c r="L43" s="1">
        <f t="shared" si="22"/>
        <v>0</v>
      </c>
      <c r="M43" s="1"/>
      <c r="N43" s="5">
        <f t="shared" si="23"/>
        <v>0</v>
      </c>
      <c r="O43" s="14"/>
      <c r="P43" s="1">
        <f>SUM(OSRRefP22_6x_0)</f>
        <v>1600</v>
      </c>
      <c r="Q43" s="1"/>
      <c r="R43" s="5">
        <f t="shared" si="24"/>
        <v>6.7839153367365975E-3</v>
      </c>
      <c r="S43" s="1"/>
      <c r="T43" s="1">
        <f>SUM(OSRRefT22_6x_0)</f>
        <v>1600</v>
      </c>
      <c r="U43" s="1"/>
      <c r="V43" s="5">
        <f t="shared" si="25"/>
        <v>1.8216595318335003E-2</v>
      </c>
      <c r="W43" s="1"/>
      <c r="X43" s="1">
        <f t="shared" si="26"/>
        <v>0</v>
      </c>
      <c r="Y43" s="1"/>
      <c r="Z43" s="5">
        <f t="shared" si="27"/>
        <v>0</v>
      </c>
    </row>
    <row r="44" spans="1:26" s="24" customFormat="1" hidden="1" outlineLevel="2" x14ac:dyDescent="0.3">
      <c r="A44" s="27"/>
      <c r="B44" s="11" t="str">
        <f>CONCATENATE("          ", "6273", " - ", "RENT")</f>
        <v xml:space="preserve">          6273 - RENT</v>
      </c>
      <c r="C44" s="11"/>
      <c r="D44" s="7">
        <v>800</v>
      </c>
      <c r="E44" s="2"/>
      <c r="F44" s="8">
        <f t="shared" si="20"/>
        <v>8.8694745944987077E-3</v>
      </c>
      <c r="G44" s="2"/>
      <c r="H44" s="7">
        <v>800</v>
      </c>
      <c r="I44" s="2"/>
      <c r="J44" s="8">
        <f t="shared" si="21"/>
        <v>1.1965121670330986E-2</v>
      </c>
      <c r="K44" s="2"/>
      <c r="L44" s="7">
        <f t="shared" si="22"/>
        <v>0</v>
      </c>
      <c r="M44" s="2"/>
      <c r="N44" s="8">
        <f t="shared" si="23"/>
        <v>0</v>
      </c>
      <c r="O44" s="11"/>
      <c r="P44" s="7">
        <v>1600</v>
      </c>
      <c r="Q44" s="2"/>
      <c r="R44" s="8">
        <f t="shared" si="24"/>
        <v>6.7839153367365975E-3</v>
      </c>
      <c r="S44" s="2"/>
      <c r="T44" s="7">
        <v>1600</v>
      </c>
      <c r="U44" s="2"/>
      <c r="V44" s="8">
        <f t="shared" si="25"/>
        <v>1.8216595318335003E-2</v>
      </c>
      <c r="W44" s="2"/>
      <c r="X44" s="7">
        <f t="shared" si="26"/>
        <v>0</v>
      </c>
      <c r="Y44" s="2"/>
      <c r="Z44" s="8">
        <f t="shared" si="27"/>
        <v>0</v>
      </c>
    </row>
    <row r="45" spans="1:26" s="28" customFormat="1" outlineLevel="1" collapsed="1" x14ac:dyDescent="0.3">
      <c r="A45" s="29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SUM(OSRRefD22_7x_0)</f>
        <v>0</v>
      </c>
      <c r="E45" s="1"/>
      <c r="F45" s="5">
        <f t="shared" si="20"/>
        <v>0</v>
      </c>
      <c r="G45" s="1"/>
      <c r="H45" s="1">
        <f>SUM(OSRRefH22_7x_0)</f>
        <v>0</v>
      </c>
      <c r="I45" s="1"/>
      <c r="J45" s="5">
        <f t="shared" si="21"/>
        <v>0</v>
      </c>
      <c r="K45" s="1"/>
      <c r="L45" s="1">
        <f t="shared" si="22"/>
        <v>0</v>
      </c>
      <c r="M45" s="1"/>
      <c r="N45" s="5">
        <f t="shared" si="23"/>
        <v>0</v>
      </c>
      <c r="O45" s="14"/>
      <c r="P45" s="1">
        <f>SUM(OSRRefP22_7x_0)</f>
        <v>122000.62</v>
      </c>
      <c r="Q45" s="1"/>
      <c r="R45" s="5">
        <f t="shared" si="24"/>
        <v>0.5172761731933585</v>
      </c>
      <c r="S45" s="1"/>
      <c r="T45" s="1">
        <f>SUM(OSRRefT22_7x_0)</f>
        <v>0</v>
      </c>
      <c r="U45" s="1"/>
      <c r="V45" s="5">
        <f t="shared" si="25"/>
        <v>0</v>
      </c>
      <c r="W45" s="1"/>
      <c r="X45" s="1">
        <f t="shared" si="26"/>
        <v>122000.62</v>
      </c>
      <c r="Y45" s="1"/>
      <c r="Z45" s="5">
        <f t="shared" si="27"/>
        <v>0</v>
      </c>
    </row>
    <row r="46" spans="1:26" s="24" customFormat="1" hidden="1" outlineLevel="2" x14ac:dyDescent="0.3">
      <c r="A46" s="27"/>
      <c r="B46" s="11" t="str">
        <f>CONCATENATE("          ", "6373", " - ", "MAINTENANCE CONTRACTS")</f>
        <v xml:space="preserve">          6373 - MAINTENANCE CONTRACTS</v>
      </c>
      <c r="C46" s="11"/>
      <c r="D46" s="7"/>
      <c r="E46" s="2"/>
      <c r="F46" s="8">
        <f t="shared" si="20"/>
        <v>0</v>
      </c>
      <c r="G46" s="2"/>
      <c r="H46" s="7"/>
      <c r="I46" s="2"/>
      <c r="J46" s="8">
        <f t="shared" si="21"/>
        <v>0</v>
      </c>
      <c r="K46" s="2"/>
      <c r="L46" s="7">
        <f t="shared" si="22"/>
        <v>0</v>
      </c>
      <c r="M46" s="2"/>
      <c r="N46" s="8">
        <f t="shared" si="23"/>
        <v>0</v>
      </c>
      <c r="O46" s="11"/>
      <c r="P46" s="7">
        <v>122000.62</v>
      </c>
      <c r="Q46" s="2"/>
      <c r="R46" s="8">
        <f t="shared" si="24"/>
        <v>0.5172761731933585</v>
      </c>
      <c r="S46" s="2"/>
      <c r="T46" s="7"/>
      <c r="U46" s="2"/>
      <c r="V46" s="8">
        <f t="shared" si="25"/>
        <v>0</v>
      </c>
      <c r="W46" s="2"/>
      <c r="X46" s="7">
        <f t="shared" si="26"/>
        <v>122000.62</v>
      </c>
      <c r="Y46" s="2"/>
      <c r="Z46" s="8">
        <f t="shared" si="27"/>
        <v>0</v>
      </c>
    </row>
    <row r="47" spans="1:26" s="28" customFormat="1" outlineLevel="1" collapsed="1" x14ac:dyDescent="0.3">
      <c r="A47" s="29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1601.24</v>
      </c>
      <c r="E47" s="1"/>
      <c r="F47" s="5">
        <f t="shared" si="20"/>
        <v>1.775269687461889E-2</v>
      </c>
      <c r="G47" s="1"/>
      <c r="H47" s="1">
        <f>SUM(OSRRefH22_8x_0)</f>
        <v>35090.559999999998</v>
      </c>
      <c r="I47" s="1"/>
      <c r="J47" s="5">
        <f t="shared" si="21"/>
        <v>0.52482852485006204</v>
      </c>
      <c r="K47" s="1"/>
      <c r="L47" s="1">
        <f t="shared" si="22"/>
        <v>-33489.32</v>
      </c>
      <c r="M47" s="1"/>
      <c r="N47" s="5">
        <f t="shared" si="23"/>
        <v>-0.9543683543380328</v>
      </c>
      <c r="O47" s="14"/>
      <c r="P47" s="1">
        <f>SUM(OSRRefP22_8x_0)</f>
        <v>1957.95</v>
      </c>
      <c r="Q47" s="1"/>
      <c r="R47" s="5">
        <f t="shared" si="24"/>
        <v>8.3016043959771389E-3</v>
      </c>
      <c r="S47" s="1"/>
      <c r="T47" s="1">
        <f>SUM(OSRRefT22_8x_0)</f>
        <v>35183.15</v>
      </c>
      <c r="U47" s="1"/>
      <c r="V47" s="5">
        <f t="shared" si="25"/>
        <v>0.40057325348392386</v>
      </c>
      <c r="W47" s="1"/>
      <c r="X47" s="1">
        <f t="shared" si="26"/>
        <v>-33225.200000000004</v>
      </c>
      <c r="Y47" s="1"/>
      <c r="Z47" s="5">
        <f t="shared" si="27"/>
        <v>-0.94434978107417911</v>
      </c>
    </row>
    <row r="48" spans="1:26" s="24" customFormat="1" hidden="1" outlineLevel="2" x14ac:dyDescent="0.3">
      <c r="A48" s="27"/>
      <c r="B48" s="11" t="str">
        <f>CONCATENATE("          ", "6241", " - ", "OFFICE EXPENSE")</f>
        <v xml:space="preserve">          6241 - OFFICE EXPENSE</v>
      </c>
      <c r="C48" s="11"/>
      <c r="D48" s="7">
        <v>1601.24</v>
      </c>
      <c r="E48" s="2"/>
      <c r="F48" s="8">
        <f t="shared" si="20"/>
        <v>1.775269687461889E-2</v>
      </c>
      <c r="G48" s="2"/>
      <c r="H48" s="7">
        <v>35090.559999999998</v>
      </c>
      <c r="I48" s="2"/>
      <c r="J48" s="8">
        <f t="shared" si="21"/>
        <v>0.52482852485006204</v>
      </c>
      <c r="K48" s="2"/>
      <c r="L48" s="7">
        <f t="shared" si="22"/>
        <v>-33489.32</v>
      </c>
      <c r="M48" s="2"/>
      <c r="N48" s="8">
        <f t="shared" si="23"/>
        <v>-0.9543683543380328</v>
      </c>
      <c r="O48" s="11"/>
      <c r="P48" s="7">
        <v>1957.95</v>
      </c>
      <c r="Q48" s="2"/>
      <c r="R48" s="8">
        <f t="shared" si="24"/>
        <v>8.3016043959771389E-3</v>
      </c>
      <c r="S48" s="2"/>
      <c r="T48" s="7">
        <v>35183.15</v>
      </c>
      <c r="U48" s="2"/>
      <c r="V48" s="8">
        <f t="shared" si="25"/>
        <v>0.40057325348392386</v>
      </c>
      <c r="W48" s="2"/>
      <c r="X48" s="7">
        <f t="shared" si="26"/>
        <v>-33225.200000000004</v>
      </c>
      <c r="Y48" s="2"/>
      <c r="Z48" s="8">
        <f t="shared" si="27"/>
        <v>-0.94434978107417911</v>
      </c>
    </row>
    <row r="49" spans="1:26" s="28" customFormat="1" outlineLevel="1" collapsed="1" x14ac:dyDescent="0.3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SUM(OSRRefD22_9x_0)</f>
        <v>86.95</v>
      </c>
      <c r="E49" s="1"/>
      <c r="F49" s="5">
        <f t="shared" si="20"/>
        <v>9.6400101998957838E-4</v>
      </c>
      <c r="G49" s="1"/>
      <c r="H49" s="1">
        <f>SUM(OSRRefH22_9x_0)</f>
        <v>137.15</v>
      </c>
      <c r="I49" s="1"/>
      <c r="J49" s="5">
        <f t="shared" si="21"/>
        <v>2.0512705463573682E-3</v>
      </c>
      <c r="K49" s="1"/>
      <c r="L49" s="1">
        <f t="shared" si="22"/>
        <v>-50.2</v>
      </c>
      <c r="M49" s="1"/>
      <c r="N49" s="5">
        <f t="shared" si="23"/>
        <v>-0.36602260298942763</v>
      </c>
      <c r="O49" s="14"/>
      <c r="P49" s="1">
        <f>SUM(OSRRefP22_9x_0)</f>
        <v>-163.30000000000001</v>
      </c>
      <c r="Q49" s="1"/>
      <c r="R49" s="5">
        <f t="shared" si="24"/>
        <v>-6.9238335905567904E-4</v>
      </c>
      <c r="S49" s="1"/>
      <c r="T49" s="1">
        <f>SUM(OSRRefT22_9x_0)</f>
        <v>292.08</v>
      </c>
      <c r="U49" s="1"/>
      <c r="V49" s="5">
        <f t="shared" si="25"/>
        <v>3.3254394753620548E-3</v>
      </c>
      <c r="W49" s="1"/>
      <c r="X49" s="1">
        <f t="shared" si="26"/>
        <v>-455.38</v>
      </c>
      <c r="Y49" s="1"/>
      <c r="Z49" s="5">
        <f t="shared" si="27"/>
        <v>-1.5590933990687483</v>
      </c>
    </row>
    <row r="50" spans="1:26" s="24" customFormat="1" hidden="1" outlineLevel="2" x14ac:dyDescent="0.3">
      <c r="A50" s="27"/>
      <c r="B50" s="11" t="str">
        <f>CONCATENATE("          ", "6309", " - ", "TELEPHONE")</f>
        <v xml:space="preserve">          6309 - TELEPHONE</v>
      </c>
      <c r="C50" s="11"/>
      <c r="D50" s="7">
        <v>86.95</v>
      </c>
      <c r="E50" s="2"/>
      <c r="F50" s="8">
        <f t="shared" si="20"/>
        <v>9.6400101998957838E-4</v>
      </c>
      <c r="G50" s="2"/>
      <c r="H50" s="7">
        <v>137.15</v>
      </c>
      <c r="I50" s="2"/>
      <c r="J50" s="8">
        <f t="shared" si="21"/>
        <v>2.0512705463573682E-3</v>
      </c>
      <c r="K50" s="2"/>
      <c r="L50" s="7">
        <f t="shared" si="22"/>
        <v>-50.2</v>
      </c>
      <c r="M50" s="2"/>
      <c r="N50" s="8">
        <f t="shared" si="23"/>
        <v>-0.36602260298942763</v>
      </c>
      <c r="O50" s="11"/>
      <c r="P50" s="7">
        <v>-163.30000000000001</v>
      </c>
      <c r="Q50" s="2"/>
      <c r="R50" s="8">
        <f t="shared" si="24"/>
        <v>-6.9238335905567904E-4</v>
      </c>
      <c r="S50" s="2"/>
      <c r="T50" s="7">
        <v>292.08</v>
      </c>
      <c r="U50" s="2"/>
      <c r="V50" s="8">
        <f t="shared" si="25"/>
        <v>3.3254394753620548E-3</v>
      </c>
      <c r="W50" s="2"/>
      <c r="X50" s="7">
        <f t="shared" si="26"/>
        <v>-455.38</v>
      </c>
      <c r="Y50" s="2"/>
      <c r="Z50" s="8">
        <f t="shared" si="27"/>
        <v>-1.5590933990687483</v>
      </c>
    </row>
    <row r="51" spans="1:26" s="61" customFormat="1" x14ac:dyDescent="0.3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3">
      <c r="A52" s="10"/>
      <c r="B52" s="26" t="s">
        <v>292</v>
      </c>
      <c r="C52" s="10"/>
      <c r="D52" s="4">
        <f>SUM(OSRRefD25x_0)</f>
        <v>1456.68</v>
      </c>
      <c r="E52" s="4"/>
      <c r="F52" s="12">
        <f t="shared" ref="F52:F53" si="28">IF(D$12=0,0,D52/D$12)</f>
        <v>1.6149982815392976E-2</v>
      </c>
      <c r="G52" s="4"/>
      <c r="H52" s="4">
        <f>SUM(OSRRefH25x_0)</f>
        <v>325</v>
      </c>
      <c r="I52" s="4"/>
      <c r="J52" s="12">
        <f t="shared" ref="J52:J53" si="29">IF(H$12=0,0,H52/H$12)</f>
        <v>4.8608306785719625E-3</v>
      </c>
      <c r="K52" s="4"/>
      <c r="L52" s="4">
        <f t="shared" ref="L52:L53" si="30">+D52-H52</f>
        <v>1131.68</v>
      </c>
      <c r="M52" s="4"/>
      <c r="N52" s="12">
        <f t="shared" ref="N52:N53" si="31">IF(H52=0,0,L52/H52)</f>
        <v>3.4820923076923078</v>
      </c>
      <c r="O52" s="10"/>
      <c r="P52" s="4">
        <f>SUM(OSRRefP25x_0)</f>
        <v>1564.84</v>
      </c>
      <c r="Q52" s="4"/>
      <c r="R52" s="12">
        <f t="shared" ref="R52:R53" si="32">IF(P$12=0,0,P52/P$12)</f>
        <v>6.6348387972118101E-3</v>
      </c>
      <c r="S52" s="4"/>
      <c r="T52" s="4">
        <f>SUM(OSRRefT25x_0)</f>
        <v>490</v>
      </c>
      <c r="U52" s="4"/>
      <c r="V52" s="12">
        <f t="shared" ref="V52:V53" si="33">IF(T$12=0,0,T52/T$12)</f>
        <v>5.5788323162400946E-3</v>
      </c>
      <c r="W52" s="4"/>
      <c r="X52" s="4">
        <f t="shared" ref="X52:X53" si="34">+P52-T52</f>
        <v>1074.8399999999999</v>
      </c>
      <c r="Y52" s="4"/>
      <c r="Z52" s="12">
        <f t="shared" ref="Z52:Z53" si="35">IF(T52=0,0,X52/T52)</f>
        <v>2.193551020408163</v>
      </c>
    </row>
    <row r="53" spans="1:26" s="24" customFormat="1" hidden="1" outlineLevel="1" x14ac:dyDescent="0.3">
      <c r="A53" s="44"/>
      <c r="B53" s="11" t="str">
        <f>CONCATENATE("          ", "9150", " - ", "MISC. INCOME")</f>
        <v xml:space="preserve">          9150 - MISC. INCOME</v>
      </c>
      <c r="C53" s="11"/>
      <c r="D53" s="2">
        <f>--1456.68</f>
        <v>1456.68</v>
      </c>
      <c r="E53" s="2"/>
      <c r="F53" s="19">
        <f t="shared" si="28"/>
        <v>1.6149982815392976E-2</v>
      </c>
      <c r="G53" s="2"/>
      <c r="H53" s="2">
        <f>--325</f>
        <v>325</v>
      </c>
      <c r="I53" s="2"/>
      <c r="J53" s="19">
        <f t="shared" si="29"/>
        <v>4.8608306785719625E-3</v>
      </c>
      <c r="K53" s="2"/>
      <c r="L53" s="2">
        <f t="shared" si="30"/>
        <v>1131.68</v>
      </c>
      <c r="M53" s="2"/>
      <c r="N53" s="19">
        <f t="shared" si="31"/>
        <v>3.4820923076923078</v>
      </c>
      <c r="O53" s="11"/>
      <c r="P53" s="2">
        <f>--1564.84</f>
        <v>1564.84</v>
      </c>
      <c r="Q53" s="2"/>
      <c r="R53" s="19">
        <f t="shared" si="32"/>
        <v>6.6348387972118101E-3</v>
      </c>
      <c r="S53" s="2"/>
      <c r="T53" s="2">
        <f>--490</f>
        <v>490</v>
      </c>
      <c r="U53" s="2"/>
      <c r="V53" s="19">
        <f t="shared" si="33"/>
        <v>5.5788323162400946E-3</v>
      </c>
      <c r="W53" s="2"/>
      <c r="X53" s="2">
        <f t="shared" si="34"/>
        <v>1074.8399999999999</v>
      </c>
      <c r="Y53" s="2"/>
      <c r="Z53" s="19">
        <f t="shared" si="35"/>
        <v>2.193551020408163</v>
      </c>
    </row>
    <row r="54" spans="1:26" x14ac:dyDescent="0.3">
      <c r="A54" s="9"/>
      <c r="B54" s="10"/>
      <c r="C54" s="10"/>
      <c r="D54" s="3"/>
      <c r="E54" s="3"/>
      <c r="F54" s="6"/>
      <c r="G54" s="3"/>
      <c r="H54" s="3"/>
      <c r="I54" s="3"/>
      <c r="J54" s="6"/>
      <c r="K54" s="3"/>
      <c r="L54" s="3"/>
      <c r="M54" s="3"/>
      <c r="N54" s="6"/>
      <c r="O54" s="10"/>
      <c r="P54" s="3"/>
      <c r="Q54" s="3"/>
      <c r="R54" s="6"/>
      <c r="S54" s="3"/>
      <c r="T54" s="3"/>
      <c r="U54" s="3"/>
      <c r="V54" s="6"/>
      <c r="W54" s="3"/>
      <c r="X54" s="3"/>
      <c r="Y54" s="3"/>
      <c r="Z54" s="6"/>
    </row>
    <row r="55" spans="1:26" s="23" customFormat="1" x14ac:dyDescent="0.3">
      <c r="A55" s="10"/>
      <c r="B55" s="25" t="s">
        <v>276</v>
      </c>
      <c r="C55" s="25"/>
      <c r="D55" s="20">
        <f>+D17-D19+D52</f>
        <v>67291.799999999988</v>
      </c>
      <c r="E55" s="13"/>
      <c r="F55" s="22">
        <f>IF(D$12=0,0,D55/D$12)</f>
        <v>0.74605363814761005</v>
      </c>
      <c r="G55" s="13"/>
      <c r="H55" s="20">
        <f>+H17-H19+H52</f>
        <v>10086.040000000001</v>
      </c>
      <c r="I55" s="13"/>
      <c r="J55" s="22">
        <f>IF(H$12=0,0,H55/H$12)</f>
        <v>0.15085086971478143</v>
      </c>
      <c r="K55" s="15"/>
      <c r="L55" s="20">
        <f>+D55-H55</f>
        <v>57205.759999999987</v>
      </c>
      <c r="M55" s="15"/>
      <c r="N55" s="22">
        <f>IF(H55=0,0,L55/H55)</f>
        <v>5.6717760389607799</v>
      </c>
      <c r="O55" s="26"/>
      <c r="P55" s="20">
        <f>+P17-P19+P52</f>
        <v>67291.939999999973</v>
      </c>
      <c r="Q55" s="13"/>
      <c r="R55" s="22">
        <f>IF(P$12=0,0,P55/P$12)</f>
        <v>0.28531426487797423</v>
      </c>
      <c r="S55" s="13"/>
      <c r="T55" s="20">
        <f>+T17-T19+T52</f>
        <v>10086.180000000008</v>
      </c>
      <c r="U55" s="13"/>
      <c r="V55" s="22">
        <f>IF(T$12=0,0,T55/T$12)</f>
        <v>0.11483491210492767</v>
      </c>
      <c r="W55" s="15"/>
      <c r="X55" s="20">
        <f>+P55-T55</f>
        <v>57205.759999999966</v>
      </c>
      <c r="Y55" s="15"/>
      <c r="Z55" s="22">
        <f>IF(T55=0,0,X55/T55)</f>
        <v>5.6716973125603474</v>
      </c>
    </row>
    <row r="56" spans="1:26" x14ac:dyDescent="0.3">
      <c r="A56" s="9"/>
      <c r="B56" s="10"/>
      <c r="C56" s="9"/>
      <c r="D56" s="3"/>
      <c r="E56" s="3"/>
      <c r="F56" s="6"/>
      <c r="G56" s="3"/>
      <c r="H56" s="3"/>
      <c r="I56" s="3"/>
      <c r="J56" s="6"/>
      <c r="K56" s="3"/>
      <c r="L56" s="3"/>
      <c r="M56" s="3"/>
      <c r="N56" s="6"/>
      <c r="P56" s="3"/>
      <c r="Q56" s="3"/>
      <c r="R56" s="6"/>
      <c r="S56" s="3"/>
      <c r="T56" s="3"/>
      <c r="U56" s="3"/>
      <c r="V56" s="6"/>
      <c r="W56" s="3"/>
      <c r="X56" s="3"/>
      <c r="Y56" s="3"/>
      <c r="Z56" s="6"/>
    </row>
    <row r="57" spans="1:26" s="23" customFormat="1" x14ac:dyDescent="0.3">
      <c r="A57" s="51"/>
      <c r="B57" s="10" t="s">
        <v>127</v>
      </c>
      <c r="C57" s="10"/>
      <c r="D57" s="4">
        <v>-32047.93</v>
      </c>
      <c r="E57" s="4"/>
      <c r="F57" s="12">
        <f>IF(D$12=0,0,D57/D$12)</f>
        <v>-0.35531037617659122</v>
      </c>
      <c r="G57" s="4"/>
      <c r="H57" s="4">
        <v>4743.34</v>
      </c>
      <c r="I57" s="4"/>
      <c r="J57" s="12">
        <f>IF(H$12=0,0,H57/H$12)</f>
        <v>7.0943300279684721E-2</v>
      </c>
      <c r="K57" s="4"/>
      <c r="L57" s="4">
        <f>+D57-H57</f>
        <v>-36791.270000000004</v>
      </c>
      <c r="M57" s="4"/>
      <c r="N57" s="12">
        <f>IF(H57=0,0,L57/H57)</f>
        <v>-7.7564058237444504</v>
      </c>
      <c r="O57" s="10"/>
      <c r="P57" s="4">
        <v>35244.080000000002</v>
      </c>
      <c r="Q57" s="4"/>
      <c r="R57" s="12">
        <f>IF(P$12=0,0,P57/P$12)</f>
        <v>0.14943303427573223</v>
      </c>
      <c r="S57" s="4"/>
      <c r="T57" s="4">
        <v>14829.27</v>
      </c>
      <c r="U57" s="4"/>
      <c r="V57" s="12">
        <f>IF(T$12=0,0,T57/T$12)</f>
        <v>0.16883675653520358</v>
      </c>
      <c r="W57" s="4"/>
      <c r="X57" s="4">
        <f>+P57-T57</f>
        <v>20414.810000000001</v>
      </c>
      <c r="Y57" s="4"/>
      <c r="Z57" s="12">
        <f>IF(T57=0,0,X57/T57)</f>
        <v>1.3766564368981076</v>
      </c>
    </row>
    <row r="58" spans="1:26" x14ac:dyDescent="0.3">
      <c r="A58" s="9"/>
      <c r="B58" s="10"/>
      <c r="C58" s="10"/>
      <c r="D58" s="3"/>
      <c r="E58" s="3"/>
      <c r="F58" s="6"/>
      <c r="G58" s="3"/>
      <c r="H58" s="3"/>
      <c r="I58" s="3"/>
      <c r="J58" s="6"/>
      <c r="K58" s="3"/>
      <c r="L58" s="3"/>
      <c r="M58" s="3"/>
      <c r="N58" s="6"/>
      <c r="O58" s="10"/>
      <c r="P58" s="3"/>
      <c r="Q58" s="3"/>
      <c r="R58" s="6"/>
      <c r="S58" s="3"/>
      <c r="T58" s="3"/>
      <c r="U58" s="3"/>
      <c r="V58" s="6"/>
      <c r="W58" s="3"/>
      <c r="X58" s="3"/>
      <c r="Y58" s="3"/>
      <c r="Z58" s="6"/>
    </row>
    <row r="59" spans="1:26" s="23" customFormat="1" ht="15" thickBot="1" x14ac:dyDescent="0.35">
      <c r="A59" s="10"/>
      <c r="B59" s="25" t="s">
        <v>125</v>
      </c>
      <c r="C59" s="25"/>
      <c r="D59" s="33">
        <f>+D55-D57</f>
        <v>99339.729999999981</v>
      </c>
      <c r="E59" s="13"/>
      <c r="F59" s="36">
        <f>IF(D$12=0,0,D59/D$12)</f>
        <v>1.1013640143242012</v>
      </c>
      <c r="G59" s="13"/>
      <c r="H59" s="33">
        <f>+H55-H57</f>
        <v>5342.7000000000007</v>
      </c>
      <c r="I59" s="13"/>
      <c r="J59" s="36">
        <f>IF(H$12=0,0,H59/H$12)</f>
        <v>7.9907569435096706E-2</v>
      </c>
      <c r="K59" s="15"/>
      <c r="L59" s="33">
        <f>D59-H59</f>
        <v>93997.029999999984</v>
      </c>
      <c r="M59" s="15"/>
      <c r="N59" s="36">
        <f>IF(H59=0,0,L59/H59)</f>
        <v>17.593544462537661</v>
      </c>
      <c r="O59" s="26"/>
      <c r="P59" s="33">
        <f>+P55-P57</f>
        <v>32047.859999999971</v>
      </c>
      <c r="Q59" s="13"/>
      <c r="R59" s="36">
        <f>IF(P$12=0,0,P59/P$12)</f>
        <v>0.13588123060224197</v>
      </c>
      <c r="S59" s="13"/>
      <c r="T59" s="33">
        <f>+T55-T57</f>
        <v>-4743.0899999999929</v>
      </c>
      <c r="U59" s="13"/>
      <c r="V59" s="36">
        <f>IF(T$12=0,0,T59/T$12)</f>
        <v>-5.4001844430275898E-2</v>
      </c>
      <c r="W59" s="15"/>
      <c r="X59" s="33">
        <f>P59-T59</f>
        <v>36790.949999999968</v>
      </c>
      <c r="Y59" s="15"/>
      <c r="Z59" s="36">
        <f>IF(T59=0,0,X59/T59)</f>
        <v>-7.7567471837979092</v>
      </c>
    </row>
    <row r="60" spans="1:26" ht="15" thickTop="1" x14ac:dyDescent="0.3">
      <c r="A60" s="9"/>
      <c r="B60" s="9"/>
      <c r="C60" s="9"/>
      <c r="D60" s="3"/>
      <c r="E60" s="3"/>
      <c r="F60" s="6"/>
      <c r="G60" s="3"/>
      <c r="H60" s="3"/>
      <c r="I60" s="3"/>
      <c r="J60" s="6"/>
      <c r="K60" s="3"/>
      <c r="L60" s="3"/>
      <c r="M60" s="3"/>
      <c r="N60" s="6"/>
      <c r="P60" s="3"/>
      <c r="Q60" s="3"/>
      <c r="R60" s="6"/>
      <c r="S60" s="3"/>
      <c r="T60" s="3"/>
      <c r="U60" s="3"/>
      <c r="V60" s="6"/>
      <c r="W60" s="3"/>
      <c r="X60" s="3"/>
      <c r="Y60" s="3"/>
      <c r="Z60" s="6"/>
    </row>
    <row r="61" spans="1:26" x14ac:dyDescent="0.3">
      <c r="A61" s="9"/>
      <c r="B61" s="9"/>
      <c r="C61" s="9"/>
      <c r="D61" s="3"/>
      <c r="E61" s="3"/>
      <c r="F61" s="6"/>
      <c r="G61" s="3"/>
      <c r="H61" s="3"/>
      <c r="I61" s="3"/>
      <c r="J61" s="6"/>
      <c r="K61" s="3"/>
      <c r="L61" s="3"/>
      <c r="M61" s="3"/>
      <c r="N61" s="6"/>
      <c r="P61" s="3"/>
      <c r="Q61" s="3"/>
      <c r="R61" s="6"/>
      <c r="S61" s="3"/>
      <c r="T61" s="3"/>
      <c r="U61" s="3"/>
      <c r="V61" s="6"/>
      <c r="W61" s="3"/>
      <c r="X61" s="3"/>
      <c r="Y61" s="3"/>
      <c r="Z61" s="6"/>
    </row>
    <row r="62" spans="1:26" s="23" customFormat="1" ht="15" thickBot="1" x14ac:dyDescent="0.35">
      <c r="A62" s="10"/>
      <c r="B62" s="25" t="s">
        <v>293</v>
      </c>
      <c r="C62" s="25"/>
      <c r="D62" s="30">
        <f>SUM(D59:D61)</f>
        <v>99339.729999999981</v>
      </c>
      <c r="E62" s="13"/>
      <c r="F62" s="31">
        <f>IF(D$12=0,0,D62/D$12)</f>
        <v>1.1013640143242012</v>
      </c>
      <c r="G62" s="13"/>
      <c r="H62" s="30">
        <f>SUM(H59:H61)</f>
        <v>5342.7000000000007</v>
      </c>
      <c r="I62" s="13"/>
      <c r="J62" s="31">
        <f>IF(H$12=0,0,H62/H$12)</f>
        <v>7.9907569435096706E-2</v>
      </c>
      <c r="K62" s="15"/>
      <c r="L62" s="30">
        <f>+D62-H62</f>
        <v>93997.029999999984</v>
      </c>
      <c r="M62" s="15"/>
      <c r="N62" s="31">
        <f>IF(H62=0,0,L62/H62)</f>
        <v>17.593544462537661</v>
      </c>
      <c r="O62" s="26"/>
      <c r="P62" s="30">
        <f>SUM(P59:P61)</f>
        <v>32047.859999999971</v>
      </c>
      <c r="Q62" s="13"/>
      <c r="R62" s="31">
        <f>IF(P$12=0,0,P62/P$12)</f>
        <v>0.13588123060224197</v>
      </c>
      <c r="S62" s="13"/>
      <c r="T62" s="30">
        <f>SUM(T59:T61)</f>
        <v>-4743.0899999999929</v>
      </c>
      <c r="U62" s="13"/>
      <c r="V62" s="31">
        <f>IF(T$12=0,0,T62/T$12)</f>
        <v>-5.4001844430275898E-2</v>
      </c>
      <c r="W62" s="15"/>
      <c r="X62" s="30">
        <f>+P62-T62</f>
        <v>36790.949999999968</v>
      </c>
      <c r="Y62" s="15"/>
      <c r="Z62" s="31">
        <f>IF(T62=0,0,X62/T62)</f>
        <v>-7.7567471837979092</v>
      </c>
    </row>
    <row r="63" spans="1:26" ht="15" thickTop="1" x14ac:dyDescent="0.3">
      <c r="A63" s="9"/>
      <c r="C63" s="9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3">
      <c r="A64" s="9"/>
      <c r="B64" s="59">
        <v>44470.840542939812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3">
      <c r="A65" s="9"/>
      <c r="B65" s="58" t="s">
        <v>56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3">
      <c r="A66" s="9"/>
      <c r="B66" s="52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3"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9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9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9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9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9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9" customWidth="1" outlineLevel="1"/>
  </cols>
  <sheetData>
    <row r="2" spans="1:26" x14ac:dyDescent="0.3">
      <c r="D2" s="60" t="s">
        <v>23</v>
      </c>
    </row>
    <row r="3" spans="1:26" x14ac:dyDescent="0.3">
      <c r="D3" s="60" t="s">
        <v>236</v>
      </c>
      <c r="E3" s="18"/>
      <c r="F3" s="45"/>
      <c r="G3" s="18"/>
      <c r="H3" s="18"/>
      <c r="I3" s="18"/>
      <c r="J3" s="38"/>
      <c r="K3" s="18"/>
      <c r="L3" s="18"/>
      <c r="M3" s="18"/>
      <c r="N3" s="45"/>
      <c r="O3" s="57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x14ac:dyDescent="0.3">
      <c r="D4" s="60" t="e">
        <f ca="1">CONCATENATE("Period ",RIGHT(_xll.OneStop.ReportPlayer.OSRFunctions.OSRGet("Period","PeriodId"),2),", ",_xll.OneStop.ReportPlayer.OSRFunctions.OSRGet("Period","Year"))</f>
        <v>#NAME?</v>
      </c>
      <c r="E4" s="18"/>
      <c r="F4" s="45"/>
      <c r="G4" s="18"/>
      <c r="H4" s="18"/>
      <c r="I4" s="18"/>
      <c r="J4" s="38"/>
      <c r="K4" s="18"/>
      <c r="L4" s="18"/>
      <c r="M4" s="18"/>
      <c r="N4" s="45"/>
      <c r="O4" s="57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5"/>
      <c r="G5" s="18"/>
      <c r="H5" s="18"/>
      <c r="I5" s="18"/>
      <c r="J5" s="38"/>
      <c r="K5" s="18"/>
      <c r="L5" s="18"/>
      <c r="M5" s="18"/>
      <c r="N5" s="45"/>
      <c r="O5" s="57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x14ac:dyDescent="0.3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5"/>
      <c r="G6" s="18"/>
      <c r="H6" s="18"/>
      <c r="I6" s="18"/>
      <c r="J6" s="38"/>
      <c r="K6" s="18"/>
      <c r="L6" s="18"/>
      <c r="M6" s="18"/>
      <c r="N6" s="45"/>
      <c r="O6" s="54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6" t="s">
        <v>291</v>
      </c>
      <c r="E9" s="16"/>
      <c r="F9" s="40"/>
      <c r="G9" s="16"/>
      <c r="H9" s="16"/>
      <c r="I9" s="16"/>
      <c r="J9" s="50"/>
      <c r="K9" s="16"/>
      <c r="L9" s="16"/>
      <c r="M9" s="16"/>
      <c r="N9" s="40"/>
      <c r="P9" s="16" t="s">
        <v>39</v>
      </c>
      <c r="Q9" s="16"/>
      <c r="R9" s="40"/>
      <c r="S9" s="16"/>
      <c r="T9" s="16"/>
      <c r="U9" s="16"/>
      <c r="V9" s="50"/>
      <c r="W9" s="16"/>
      <c r="X9" s="16"/>
      <c r="Y9" s="16"/>
      <c r="Z9" s="40"/>
    </row>
    <row r="10" spans="1:26" x14ac:dyDescent="0.3">
      <c r="A10" s="10"/>
      <c r="B10" s="53"/>
      <c r="C10" s="10"/>
      <c r="D10" s="42" t="s">
        <v>57</v>
      </c>
      <c r="E10" s="35"/>
      <c r="F10" s="34" t="s">
        <v>40</v>
      </c>
      <c r="G10" s="35"/>
      <c r="H10" s="48" t="s">
        <v>237</v>
      </c>
      <c r="I10" s="35"/>
      <c r="J10" s="34" t="s">
        <v>40</v>
      </c>
      <c r="K10" s="10"/>
      <c r="L10" s="42" t="s">
        <v>126</v>
      </c>
      <c r="M10" s="10"/>
      <c r="N10" s="34" t="s">
        <v>257</v>
      </c>
      <c r="O10" s="10"/>
      <c r="P10" s="56" t="s">
        <v>57</v>
      </c>
      <c r="Q10" s="35"/>
      <c r="R10" s="34" t="s">
        <v>40</v>
      </c>
      <c r="S10" s="35"/>
      <c r="T10" s="48" t="s">
        <v>237</v>
      </c>
      <c r="U10" s="35"/>
      <c r="V10" s="34" t="s">
        <v>40</v>
      </c>
      <c r="W10" s="10"/>
      <c r="X10" s="42" t="s">
        <v>126</v>
      </c>
      <c r="Y10" s="10"/>
      <c r="Z10" s="34" t="s">
        <v>257</v>
      </c>
    </row>
    <row r="11" spans="1:26" ht="15.6" x14ac:dyDescent="0.3">
      <c r="A11" s="9"/>
      <c r="B11" s="62"/>
      <c r="C11" s="9"/>
      <c r="D11" s="9"/>
      <c r="E11" s="9"/>
      <c r="F11" s="6"/>
      <c r="G11" s="9"/>
      <c r="H11" s="9"/>
      <c r="I11" s="9"/>
      <c r="J11" s="46"/>
      <c r="K11" s="9"/>
      <c r="L11" s="9"/>
      <c r="M11" s="9"/>
      <c r="N11" s="6"/>
      <c r="P11" s="9"/>
      <c r="Q11" s="9"/>
      <c r="R11" s="6"/>
      <c r="S11" s="9"/>
      <c r="T11" s="9"/>
      <c r="U11" s="9"/>
      <c r="V11" s="46"/>
      <c r="W11" s="9"/>
      <c r="X11" s="9"/>
      <c r="Y11" s="9"/>
      <c r="Z11" s="6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6"/>
      <c r="G14" s="3"/>
      <c r="H14" s="3"/>
      <c r="I14" s="3"/>
      <c r="J14" s="6"/>
      <c r="K14" s="3"/>
      <c r="L14" s="3"/>
      <c r="M14" s="3"/>
      <c r="N14" s="6"/>
      <c r="P14" s="3"/>
      <c r="Q14" s="3"/>
      <c r="R14" s="6"/>
      <c r="S14" s="3"/>
      <c r="T14" s="3"/>
      <c r="U14" s="3"/>
      <c r="V14" s="6"/>
      <c r="W14" s="3"/>
      <c r="X14" s="3"/>
      <c r="Y14" s="3"/>
      <c r="Z14" s="6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6"/>
      <c r="G17" s="3"/>
      <c r="H17" s="3"/>
      <c r="I17" s="3"/>
      <c r="J17" s="6"/>
      <c r="K17" s="3"/>
      <c r="L17" s="3"/>
      <c r="M17" s="3"/>
      <c r="N17" s="6"/>
      <c r="O17" s="10"/>
      <c r="P17" s="3"/>
      <c r="Q17" s="3"/>
      <c r="R17" s="6"/>
      <c r="S17" s="3"/>
      <c r="T17" s="3"/>
      <c r="U17" s="3"/>
      <c r="V17" s="6"/>
      <c r="W17" s="3"/>
      <c r="X17" s="3"/>
      <c r="Y17" s="3"/>
      <c r="Z17" s="6"/>
    </row>
    <row r="18" spans="1:26" s="23" customFormat="1" x14ac:dyDescent="0.3">
      <c r="A18" s="10"/>
      <c r="B18" s="25" t="s">
        <v>107</v>
      </c>
      <c r="C18" s="25"/>
      <c r="D18" s="20" t="e">
        <f ca="1">D12-D15</f>
        <v>#NAME?</v>
      </c>
      <c r="E18" s="13"/>
      <c r="F18" s="22" t="e">
        <f ca="1">IF(D$12=0,0,D18/D$12)</f>
        <v>#NAME?</v>
      </c>
      <c r="G18" s="13"/>
      <c r="H18" s="20" t="e">
        <f ca="1">H12-H15</f>
        <v>#NAME?</v>
      </c>
      <c r="I18" s="13"/>
      <c r="J18" s="22" t="e">
        <f ca="1">IF(H$12=0,0,H18/H$12)</f>
        <v>#NAME?</v>
      </c>
      <c r="K18" s="15"/>
      <c r="L18" s="20" t="e">
        <f ca="1">+D18-H18</f>
        <v>#NAME?</v>
      </c>
      <c r="M18" s="15"/>
      <c r="N18" s="22" t="e">
        <f ca="1">IF(H18=0,0,L18/H18)</f>
        <v>#NAME?</v>
      </c>
      <c r="O18" s="26"/>
      <c r="P18" s="20" t="e">
        <f ca="1">P12-P15</f>
        <v>#NAME?</v>
      </c>
      <c r="Q18" s="13"/>
      <c r="R18" s="22" t="e">
        <f ca="1">IF(P$12=0,0,P18/P$12)</f>
        <v>#NAME?</v>
      </c>
      <c r="S18" s="13"/>
      <c r="T18" s="20" t="e">
        <f ca="1">T12-T15</f>
        <v>#NAME?</v>
      </c>
      <c r="U18" s="13"/>
      <c r="V18" s="22" t="e">
        <f ca="1">IF(T$12=0,0,T18/T$12)</f>
        <v>#NAME?</v>
      </c>
      <c r="W18" s="15"/>
      <c r="X18" s="20" t="e">
        <f ca="1">+P18-T18</f>
        <v>#NAME?</v>
      </c>
      <c r="Y18" s="15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1" t="e">
        <f ca="1">SUM(_xll.OneStop.ReportPlayer.OSRFunctions.OSRRef(D22))</f>
        <v>#NAME?</v>
      </c>
      <c r="E20" s="21"/>
      <c r="F20" s="32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2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2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2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3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8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8" t="e">
        <f t="shared" ca="1" si="13"/>
        <v>#NAME?</v>
      </c>
      <c r="K22" s="2"/>
      <c r="L22" s="7" t="e">
        <f t="shared" ca="1" si="14"/>
        <v>#NAME?</v>
      </c>
      <c r="M22" s="2"/>
      <c r="N22" s="8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8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8" t="e">
        <f t="shared" ca="1" si="17"/>
        <v>#NAME?</v>
      </c>
      <c r="W22" s="2"/>
      <c r="X22" s="7" t="e">
        <f t="shared" ca="1" si="18"/>
        <v>#NAME?</v>
      </c>
      <c r="Y22" s="2"/>
      <c r="Z22" s="8" t="e">
        <f t="shared" ca="1" si="19"/>
        <v>#NAME?</v>
      </c>
    </row>
    <row r="23" spans="1:26" s="61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6"/>
      <c r="G26" s="3"/>
      <c r="H26" s="3"/>
      <c r="I26" s="3"/>
      <c r="J26" s="6"/>
      <c r="K26" s="3"/>
      <c r="L26" s="3"/>
      <c r="M26" s="3"/>
      <c r="N26" s="6"/>
      <c r="O26" s="10"/>
      <c r="P26" s="3"/>
      <c r="Q26" s="3"/>
      <c r="R26" s="6"/>
      <c r="S26" s="3"/>
      <c r="T26" s="3"/>
      <c r="U26" s="3"/>
      <c r="V26" s="6"/>
      <c r="W26" s="3"/>
      <c r="X26" s="3"/>
      <c r="Y26" s="3"/>
      <c r="Z26" s="6"/>
    </row>
    <row r="27" spans="1:26" s="23" customFormat="1" x14ac:dyDescent="0.3">
      <c r="A27" s="10"/>
      <c r="B27" s="25" t="s">
        <v>276</v>
      </c>
      <c r="C27" s="25"/>
      <c r="D27" s="20" t="e">
        <f ca="1">+D18-D20+D24</f>
        <v>#NAME?</v>
      </c>
      <c r="E27" s="13"/>
      <c r="F27" s="22" t="e">
        <f ca="1">IF(D$12=0,0,D27/D$12)</f>
        <v>#NAME?</v>
      </c>
      <c r="G27" s="13"/>
      <c r="H27" s="20" t="e">
        <f ca="1">+H18-H20+H24</f>
        <v>#NAME?</v>
      </c>
      <c r="I27" s="13"/>
      <c r="J27" s="22" t="e">
        <f ca="1">IF(H$12=0,0,H27/H$12)</f>
        <v>#NAME?</v>
      </c>
      <c r="K27" s="15"/>
      <c r="L27" s="20" t="e">
        <f ca="1">+D27-H27</f>
        <v>#NAME?</v>
      </c>
      <c r="M27" s="15"/>
      <c r="N27" s="22" t="e">
        <f ca="1">IF(H27=0,0,L27/H27)</f>
        <v>#NAME?</v>
      </c>
      <c r="O27" s="26"/>
      <c r="P27" s="20" t="e">
        <f ca="1">+P18-P20+P24</f>
        <v>#NAME?</v>
      </c>
      <c r="Q27" s="13"/>
      <c r="R27" s="22" t="e">
        <f ca="1">IF(P$12=0,0,P27/P$12)</f>
        <v>#NAME?</v>
      </c>
      <c r="S27" s="13"/>
      <c r="T27" s="20" t="e">
        <f ca="1">+T18-T20+T24</f>
        <v>#NAME?</v>
      </c>
      <c r="U27" s="13"/>
      <c r="V27" s="22" t="e">
        <f ca="1">IF(T$12=0,0,T27/T$12)</f>
        <v>#NAME?</v>
      </c>
      <c r="W27" s="15"/>
      <c r="X27" s="20" t="e">
        <f ca="1">+P27-T27</f>
        <v>#NAME?</v>
      </c>
      <c r="Y27" s="15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6"/>
      <c r="G28" s="3"/>
      <c r="H28" s="3"/>
      <c r="I28" s="3"/>
      <c r="J28" s="6"/>
      <c r="K28" s="3"/>
      <c r="L28" s="3"/>
      <c r="M28" s="3"/>
      <c r="N28" s="6"/>
      <c r="P28" s="3"/>
      <c r="Q28" s="3"/>
      <c r="R28" s="6"/>
      <c r="S28" s="3"/>
      <c r="T28" s="3"/>
      <c r="U28" s="3"/>
      <c r="V28" s="6"/>
      <c r="W28" s="3"/>
      <c r="X28" s="3"/>
      <c r="Y28" s="3"/>
      <c r="Z28" s="6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6"/>
      <c r="G30" s="3"/>
      <c r="H30" s="3"/>
      <c r="I30" s="3"/>
      <c r="J30" s="6"/>
      <c r="K30" s="3"/>
      <c r="L30" s="3"/>
      <c r="M30" s="3"/>
      <c r="N30" s="6"/>
      <c r="O30" s="10"/>
      <c r="P30" s="3"/>
      <c r="Q30" s="3"/>
      <c r="R30" s="6"/>
      <c r="S30" s="3"/>
      <c r="T30" s="3"/>
      <c r="U30" s="3"/>
      <c r="V30" s="6"/>
      <c r="W30" s="3"/>
      <c r="X30" s="3"/>
      <c r="Y30" s="3"/>
      <c r="Z30" s="6"/>
    </row>
    <row r="31" spans="1:26" s="23" customFormat="1" ht="15" thickBot="1" x14ac:dyDescent="0.35">
      <c r="A31" s="10"/>
      <c r="B31" s="25" t="s">
        <v>125</v>
      </c>
      <c r="C31" s="25"/>
      <c r="D31" s="33" t="e">
        <f ca="1">+D27-D29</f>
        <v>#NAME?</v>
      </c>
      <c r="E31" s="13"/>
      <c r="F31" s="36" t="e">
        <f ca="1">IF(D$12=0,0,D31/D$12)</f>
        <v>#NAME?</v>
      </c>
      <c r="G31" s="13"/>
      <c r="H31" s="33" t="e">
        <f ca="1">+H27-H29</f>
        <v>#NAME?</v>
      </c>
      <c r="I31" s="13"/>
      <c r="J31" s="36" t="e">
        <f ca="1">IF(H$12=0,0,H31/H$12)</f>
        <v>#NAME?</v>
      </c>
      <c r="K31" s="15"/>
      <c r="L31" s="33" t="e">
        <f ca="1">D31-H31</f>
        <v>#NAME?</v>
      </c>
      <c r="M31" s="15"/>
      <c r="N31" s="36" t="e">
        <f ca="1">IF(H31=0,0,L31/H31)</f>
        <v>#NAME?</v>
      </c>
      <c r="O31" s="26"/>
      <c r="P31" s="33" t="e">
        <f ca="1">+P27-P29</f>
        <v>#NAME?</v>
      </c>
      <c r="Q31" s="13"/>
      <c r="R31" s="36" t="e">
        <f ca="1">IF(P$12=0,0,P31/P$12)</f>
        <v>#NAME?</v>
      </c>
      <c r="S31" s="13"/>
      <c r="T31" s="33" t="e">
        <f ca="1">+T27-T29</f>
        <v>#NAME?</v>
      </c>
      <c r="U31" s="13"/>
      <c r="V31" s="36" t="e">
        <f ca="1">IF(T$12=0,0,T31/T$12)</f>
        <v>#NAME?</v>
      </c>
      <c r="W31" s="15"/>
      <c r="X31" s="33" t="e">
        <f ca="1">P31-T31</f>
        <v>#NAME?</v>
      </c>
      <c r="Y31" s="15"/>
      <c r="Z31" s="36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6"/>
      <c r="G32" s="3"/>
      <c r="H32" s="3"/>
      <c r="I32" s="3"/>
      <c r="J32" s="6"/>
      <c r="K32" s="3"/>
      <c r="L32" s="3"/>
      <c r="M32" s="3"/>
      <c r="N32" s="6"/>
      <c r="P32" s="3"/>
      <c r="Q32" s="3"/>
      <c r="R32" s="6"/>
      <c r="S32" s="3"/>
      <c r="T32" s="3"/>
      <c r="U32" s="3"/>
      <c r="V32" s="6"/>
      <c r="W32" s="3"/>
      <c r="X32" s="3"/>
      <c r="Y32" s="3"/>
      <c r="Z32" s="6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6"/>
      <c r="G35" s="3"/>
      <c r="H35" s="3"/>
      <c r="I35" s="3"/>
      <c r="J35" s="6"/>
      <c r="K35" s="3"/>
      <c r="L35" s="3"/>
      <c r="M35" s="3"/>
      <c r="N35" s="6"/>
      <c r="P35" s="3"/>
      <c r="Q35" s="3"/>
      <c r="R35" s="6"/>
      <c r="S35" s="3"/>
      <c r="T35" s="3"/>
      <c r="U35" s="3"/>
      <c r="V35" s="6"/>
      <c r="W35" s="3"/>
      <c r="X35" s="3"/>
      <c r="Y35" s="3"/>
      <c r="Z35" s="6"/>
    </row>
    <row r="36" spans="1:26" s="23" customFormat="1" ht="15" thickBot="1" x14ac:dyDescent="0.35">
      <c r="A36" s="10"/>
      <c r="B36" s="25" t="s">
        <v>293</v>
      </c>
      <c r="C36" s="25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5"/>
      <c r="L36" s="30" t="e">
        <f ca="1">+D36-H36</f>
        <v>#NAME?</v>
      </c>
      <c r="M36" s="15"/>
      <c r="N36" s="31" t="e">
        <f ca="1">IF(H36=0,0,L36/H36)</f>
        <v>#NAME?</v>
      </c>
      <c r="O36" s="26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5"/>
      <c r="X36" s="30" t="e">
        <f ca="1">+P36-T36</f>
        <v>#NAME?</v>
      </c>
      <c r="Y36" s="15"/>
      <c r="Z36" s="31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3">
      <c r="A38" s="9"/>
      <c r="B38" s="59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3">
      <c r="A39" s="9"/>
      <c r="B39" s="58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3">
      <c r="A40" s="9"/>
      <c r="B40" s="5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3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3274</vt:i4>
      </vt:variant>
    </vt:vector>
  </HeadingPairs>
  <TitlesOfParts>
    <vt:vector size="3371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320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'414'!OSRRefD13x_0</vt:lpstr>
      <vt:lpstr>'415'!OSRRefD13x_0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'Div 2'!OSRRefD22_10x_0</vt:lpstr>
      <vt:lpstr>'Div 3'!OSRRefD22_10x_0</vt:lpstr>
      <vt:lpstr>'Div 4'!OSRRefD22_10x_0</vt:lpstr>
      <vt:lpstr>Summary!OSRRefD22_10x_0</vt:lpstr>
      <vt:lpstr>'201'!OSRRefD22_11x_0</vt:lpstr>
      <vt:lpstr>'202'!OSRRefD22_11x_0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'325'!OSRRefD22_12x_0</vt:lpstr>
      <vt:lpstr>'326'!OSRRefD22_12x_0</vt:lpstr>
      <vt:lpstr>'331'!OSRRefD22_12x_0</vt:lpstr>
      <vt:lpstr>'411'!OSRRefD22_12x_0</vt:lpstr>
      <vt:lpstr>'415'!OSRRefD22_12x_0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'411'!OSRRefD22_13x_0</vt:lpstr>
      <vt:lpstr>'415'!OSRRefD22_13x_0</vt:lpstr>
      <vt:lpstr>'433'!OSRRefD22_13x_0</vt:lpstr>
      <vt:lpstr>'444'!OSRRefD22_13x_0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'326'!OSRRefD22_14x_0</vt:lpstr>
      <vt:lpstr>'331'!OSRRefD22_14x_0</vt:lpstr>
      <vt:lpstr>'415'!OSRRefD22_14x_0</vt:lpstr>
      <vt:lpstr>'444'!OSRRefD22_14x_0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 &amp; 491'!OSRRefD22_15x_0</vt:lpstr>
      <vt:lpstr>'326'!OSRRefD22_15x_0</vt:lpstr>
      <vt:lpstr>'331'!OSRRefD22_15x_0</vt:lpstr>
      <vt:lpstr>'415'!OSRRefD22_15x_0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'331'!OSRRefD22_16x_0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'331'!OSRRefD22_17x_0</vt:lpstr>
      <vt:lpstr>'491'!OSRRefD22_17x_0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'Div 3'!OSRRefD22_22x_0</vt:lpstr>
      <vt:lpstr>Summary!OSRRefD22_22x_0</vt:lpstr>
      <vt:lpstr>'Div 3'!OSRRefD22_23x_0</vt:lpstr>
      <vt:lpstr>Summary!OSRRefD22_23x_0</vt:lpstr>
      <vt:lpstr>Summary!OSRRefD22_24x_0</vt:lpstr>
      <vt:lpstr>Summary!OSRRefD22_25x_0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'415'!OSRRefD25x_0</vt:lpstr>
      <vt:lpstr>'418'!OSRRefD25x_0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'414'!OSRRefH13x_0</vt:lpstr>
      <vt:lpstr>'415'!OSRRefH13x_0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'Div 2'!OSRRefH22_10x_0</vt:lpstr>
      <vt:lpstr>'Div 3'!OSRRefH22_10x_0</vt:lpstr>
      <vt:lpstr>'Div 4'!OSRRefH22_10x_0</vt:lpstr>
      <vt:lpstr>Summary!OSRRefH22_10x_0</vt:lpstr>
      <vt:lpstr>'201'!OSRRefH22_11x_0</vt:lpstr>
      <vt:lpstr>'202'!OSRRefH22_11x_0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'325'!OSRRefH22_12x_0</vt:lpstr>
      <vt:lpstr>'326'!OSRRefH22_12x_0</vt:lpstr>
      <vt:lpstr>'331'!OSRRefH22_12x_0</vt:lpstr>
      <vt:lpstr>'411'!OSRRefH22_12x_0</vt:lpstr>
      <vt:lpstr>'415'!OSRRefH22_12x_0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'411'!OSRRefH22_13x_0</vt:lpstr>
      <vt:lpstr>'415'!OSRRefH22_13x_0</vt:lpstr>
      <vt:lpstr>'433'!OSRRefH22_13x_0</vt:lpstr>
      <vt:lpstr>'444'!OSRRefH22_13x_0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'326'!OSRRefH22_14x_0</vt:lpstr>
      <vt:lpstr>'331'!OSRRefH22_14x_0</vt:lpstr>
      <vt:lpstr>'415'!OSRRefH22_14x_0</vt:lpstr>
      <vt:lpstr>'444'!OSRRefH22_14x_0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 &amp; 491'!OSRRefH22_15x_0</vt:lpstr>
      <vt:lpstr>'326'!OSRRefH22_15x_0</vt:lpstr>
      <vt:lpstr>'331'!OSRRefH22_15x_0</vt:lpstr>
      <vt:lpstr>'415'!OSRRefH22_15x_0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'331'!OSRRefH22_16x_0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'331'!OSRRefH22_17x_0</vt:lpstr>
      <vt:lpstr>'491'!OSRRefH22_17x_0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'Div 3'!OSRRefH22_22x_0</vt:lpstr>
      <vt:lpstr>Summary!OSRRefH22_22x_0</vt:lpstr>
      <vt:lpstr>'Div 3'!OSRRefH22_23x_0</vt:lpstr>
      <vt:lpstr>Summary!OSRRefH22_23x_0</vt:lpstr>
      <vt:lpstr>Summary!OSRRefH22_24x_0</vt:lpstr>
      <vt:lpstr>Summary!OSRRefH22_25x_0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'415'!OSRRefH25x_0</vt:lpstr>
      <vt:lpstr>'418'!OSRRefH25x_0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'414'!OSRRefP13x_0</vt:lpstr>
      <vt:lpstr>'415'!OSRRefP13x_0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'Div 2'!OSRRefP22_10x_0</vt:lpstr>
      <vt:lpstr>'Div 3'!OSRRefP22_10x_0</vt:lpstr>
      <vt:lpstr>'Div 4'!OSRRefP22_10x_0</vt:lpstr>
      <vt:lpstr>Summary!OSRRefP22_10x_0</vt:lpstr>
      <vt:lpstr>'201'!OSRRefP22_11x_0</vt:lpstr>
      <vt:lpstr>'202'!OSRRefP22_11x_0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'325'!OSRRefP22_12x_0</vt:lpstr>
      <vt:lpstr>'326'!OSRRefP22_12x_0</vt:lpstr>
      <vt:lpstr>'331'!OSRRefP22_12x_0</vt:lpstr>
      <vt:lpstr>'411'!OSRRefP22_12x_0</vt:lpstr>
      <vt:lpstr>'415'!OSRRefP22_12x_0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'411'!OSRRefP22_13x_0</vt:lpstr>
      <vt:lpstr>'415'!OSRRefP22_13x_0</vt:lpstr>
      <vt:lpstr>'433'!OSRRefP22_13x_0</vt:lpstr>
      <vt:lpstr>'444'!OSRRefP22_13x_0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'326'!OSRRefP22_14x_0</vt:lpstr>
      <vt:lpstr>'331'!OSRRefP22_14x_0</vt:lpstr>
      <vt:lpstr>'415'!OSRRefP22_14x_0</vt:lpstr>
      <vt:lpstr>'444'!OSRRefP22_14x_0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 &amp; 491'!OSRRefP22_15x_0</vt:lpstr>
      <vt:lpstr>'326'!OSRRefP22_15x_0</vt:lpstr>
      <vt:lpstr>'331'!OSRRefP22_15x_0</vt:lpstr>
      <vt:lpstr>'415'!OSRRefP22_15x_0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'331'!OSRRefP22_16x_0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'331'!OSRRefP22_17x_0</vt:lpstr>
      <vt:lpstr>'491'!OSRRefP22_17x_0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'Div 3'!OSRRefP22_22x_0</vt:lpstr>
      <vt:lpstr>Summary!OSRRefP22_22x_0</vt:lpstr>
      <vt:lpstr>'Div 3'!OSRRefP22_23x_0</vt:lpstr>
      <vt:lpstr>Summary!OSRRefP22_23x_0</vt:lpstr>
      <vt:lpstr>Summary!OSRRefP22_24x_0</vt:lpstr>
      <vt:lpstr>Summary!OSRRefP22_25x_0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'415'!OSRRefP25x_0</vt:lpstr>
      <vt:lpstr>'418'!OSRRefP25x_0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'414'!OSRRefT13x_0</vt:lpstr>
      <vt:lpstr>'415'!OSRRefT13x_0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'Div 2'!OSRRefT22_10x_0</vt:lpstr>
      <vt:lpstr>'Div 3'!OSRRefT22_10x_0</vt:lpstr>
      <vt:lpstr>'Div 4'!OSRRefT22_10x_0</vt:lpstr>
      <vt:lpstr>Summary!OSRRefT22_10x_0</vt:lpstr>
      <vt:lpstr>'201'!OSRRefT22_11x_0</vt:lpstr>
      <vt:lpstr>'202'!OSRRefT22_11x_0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'325'!OSRRefT22_12x_0</vt:lpstr>
      <vt:lpstr>'326'!OSRRefT22_12x_0</vt:lpstr>
      <vt:lpstr>'331'!OSRRefT22_12x_0</vt:lpstr>
      <vt:lpstr>'411'!OSRRefT22_12x_0</vt:lpstr>
      <vt:lpstr>'415'!OSRRefT22_12x_0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'411'!OSRRefT22_13x_0</vt:lpstr>
      <vt:lpstr>'415'!OSRRefT22_13x_0</vt:lpstr>
      <vt:lpstr>'433'!OSRRefT22_13x_0</vt:lpstr>
      <vt:lpstr>'444'!OSRRefT22_13x_0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'326'!OSRRefT22_14x_0</vt:lpstr>
      <vt:lpstr>'331'!OSRRefT22_14x_0</vt:lpstr>
      <vt:lpstr>'415'!OSRRefT22_14x_0</vt:lpstr>
      <vt:lpstr>'444'!OSRRefT22_14x_0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 &amp; 491'!OSRRefT22_15x_0</vt:lpstr>
      <vt:lpstr>'326'!OSRRefT22_15x_0</vt:lpstr>
      <vt:lpstr>'331'!OSRRefT22_15x_0</vt:lpstr>
      <vt:lpstr>'415'!OSRRefT22_15x_0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'331'!OSRRefT22_16x_0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'331'!OSRRefT22_17x_0</vt:lpstr>
      <vt:lpstr>'491'!OSRRefT22_17x_0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'Div 3'!OSRRefT22_22x_0</vt:lpstr>
      <vt:lpstr>Summary!OSRRefT22_22x_0</vt:lpstr>
      <vt:lpstr>'Div 3'!OSRRefT22_23x_0</vt:lpstr>
      <vt:lpstr>Summary!OSRRefT22_23x_0</vt:lpstr>
      <vt:lpstr>Summary!OSRRefT22_24x_0</vt:lpstr>
      <vt:lpstr>Summary!OSRRefT22_25x_0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'415'!OSRRefT25x_0</vt:lpstr>
      <vt:lpstr>'418'!OSRRefT25x_0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2021-10-01T20:12:53Z</dcterms:created>
  <dcterms:modified xsi:type="dcterms:W3CDTF">2021-10-01T20:22:11Z</dcterms:modified>
</cp:coreProperties>
</file>